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IX/"/>
    </mc:Choice>
  </mc:AlternateContent>
  <xr:revisionPtr revIDLastSave="11" documentId="13_ncr:1_{CEE9AB77-FDDD-4384-97CD-A01E19A1A022}" xr6:coauthVersionLast="47" xr6:coauthVersionMax="47" xr10:uidLastSave="{8433300A-136F-4C11-8385-63456B97D4CA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Passo Fundo" sheetId="4" r:id="rId4"/>
    <sheet name="Desl. Base Passo Fundo" sheetId="5" r:id="rId5"/>
    <sheet name="Custo Eng. Eletricista" sheetId="18" r:id="rId6"/>
    <sheet name="Comp. Eng. Eletricista" sheetId="19" r:id="rId7"/>
    <sheet name="Custo Oficial de Manutenção" sheetId="16" r:id="rId8"/>
    <sheet name="Comp. Oficial de Manutenção" sheetId="17" r:id="rId9"/>
    <sheet name="Comp. Veículo" sheetId="12" r:id="rId10"/>
    <sheet name="Unidades" sheetId="13" r:id="rId11"/>
    <sheet name="BDI" sheetId="14" r:id="rId12"/>
    <sheet name="Divisão Custos ISSQN" sheetId="15" r:id="rId13"/>
  </sheets>
  <definedNames>
    <definedName name="___xlnm__FilterDatabase_6" localSheetId="6">#REF!</definedName>
    <definedName name="___xlnm__FilterDatabase_6" localSheetId="8">#REF!</definedName>
    <definedName name="___xlnm__FilterDatabase_6" localSheetId="5">#REF!</definedName>
    <definedName name="___xlnm__FilterDatabase_6" localSheetId="7">#REF!</definedName>
    <definedName name="___xlnm__FilterDatabase_6">#REF!</definedName>
    <definedName name="_FilterDatabase_3" localSheetId="6">#REF!</definedName>
    <definedName name="_FilterDatabase_3" localSheetId="8">#REF!</definedName>
    <definedName name="_FilterDatabase_3" localSheetId="5">#REF!</definedName>
    <definedName name="_FilterDatabase_3" localSheetId="7">#REF!</definedName>
    <definedName name="_FilterDatabase_3">#REF!</definedName>
    <definedName name="_xlnm_Print_Area" localSheetId="3">'Base Passo Fundo'!$B$2:$AG$30</definedName>
    <definedName name="_xlnm_Print_Area" localSheetId="11">NA()</definedName>
    <definedName name="_xlnm_Print_Area" localSheetId="4">'Desl. Base Passo Fundo'!$B$2:$M$39</definedName>
    <definedName name="_xlnm_Print_Area" localSheetId="2">'Equipe Técnica'!$B$2:$E$13</definedName>
    <definedName name="_xlnm_Print_Area" localSheetId="10">Unidades!$C$2:$F$19</definedName>
    <definedName name="_xlnm_Print_Area_0" localSheetId="3">'Base Passo Fundo'!$B$2:$AG$30</definedName>
    <definedName name="_xlnm_Print_Area_0" localSheetId="11">NA()</definedName>
    <definedName name="_xlnm_Print_Area_0" localSheetId="4">'Desl. Base Passo Fundo'!$B$2:$M$39</definedName>
    <definedName name="_xlnm_Print_Area_0" localSheetId="2">'Equipe Técnica'!$B$2:$E$13</definedName>
    <definedName name="_xlnm_Print_Area_0" localSheetId="10">Unidades!$C$2:$F$19</definedName>
    <definedName name="_xlnm.Print_Area" localSheetId="3">'Base Passo Fundo'!$B$2:$AW$30</definedName>
    <definedName name="_xlnm.Print_Area" localSheetId="11">BDI!$B$1:$I$40</definedName>
    <definedName name="_xlnm.Print_Area" localSheetId="4">'Desl. Base Passo Fundo'!$B$2:$M$39</definedName>
    <definedName name="_xlnm.Print_Area" localSheetId="2">'Equipe Técnica'!$B$2:$E$13</definedName>
    <definedName name="_xlnm.Print_Area" localSheetId="10">Unidades!$B$2:$H$19</definedName>
    <definedName name="Excel_BuiltIn__FilterDatabase_9_1" localSheetId="6">#REF!</definedName>
    <definedName name="Excel_BuiltIn__FilterDatabase_9_1" localSheetId="8">#REF!</definedName>
    <definedName name="Excel_BuiltIn__FilterDatabase_9_1" localSheetId="5">#REF!</definedName>
    <definedName name="Excel_BuiltIn__FilterDatabase_9_1" localSheetId="7">#REF!</definedName>
    <definedName name="Excel_BuiltIn__FilterDatabase_9_1">#REF!</definedName>
    <definedName name="Excel_BuiltIn_Print_Area" localSheetId="3">'Base Passo Fundo'!$B$2:$AG$30</definedName>
    <definedName name="Excel_BuiltIn_Print_Area" localSheetId="11">NA()</definedName>
    <definedName name="Excel_BuiltIn_Print_Area" localSheetId="10">Unidades!$C$2:$F$19</definedName>
    <definedName name="Print_Area_0" localSheetId="3">'Base Passo Fundo'!$B$2:$AG$31</definedName>
    <definedName name="Print_Area_0" localSheetId="11">NA()</definedName>
    <definedName name="Print_Area_0" localSheetId="4">'Desl. Base Passo Fundo'!$B$2:$M$39</definedName>
    <definedName name="Print_Area_0" localSheetId="2">'Equipe Técnica'!$B$2:$E$13</definedName>
    <definedName name="Print_Area_0" localSheetId="10">Unidades!$C$2:$F$19</definedName>
    <definedName name="Print_Area_0_0" localSheetId="3">'Base Passo Fundo'!$B$2:$AG$30</definedName>
    <definedName name="Print_Area_0_0" localSheetId="11">NA()</definedName>
    <definedName name="Print_Area_0_0" localSheetId="4">'Desl. Base Passo Fundo'!$B$2:$M$39</definedName>
    <definedName name="Print_Area_0_0" localSheetId="2">'Equipe Técnica'!$B$2:$E$13</definedName>
    <definedName name="Print_Area_0_0" localSheetId="10">Unidades!$C$2:$F$19</definedName>
    <definedName name="Print_Area_0_0_0" localSheetId="3">'Base Passo Fundo'!$B$4:$O$31</definedName>
    <definedName name="Print_Area_0_0_0" localSheetId="4">'Desl. Base Passo Fundo'!$B$4:$L$39</definedName>
    <definedName name="Print_Area_0_0_0_0" localSheetId="3">'Base Passo Fundo'!$B$4:$O$31</definedName>
    <definedName name="Print_Area_0_0_0_0" localSheetId="4">'Desl. Base Passo Fundo'!$B$4:$L$39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9" i="19"/>
  <c r="I18" i="19"/>
  <c r="I17" i="19"/>
  <c r="I16" i="19"/>
  <c r="I15" i="19"/>
  <c r="I14" i="19"/>
  <c r="D11" i="19" s="1"/>
  <c r="C14" i="18"/>
  <c r="C13" i="18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7" i="4"/>
  <c r="Q22" i="5"/>
  <c r="Q23" i="5" s="1"/>
  <c r="Q20" i="5"/>
  <c r="Q21" i="5" s="1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5" i="5"/>
  <c r="C29" i="4"/>
  <c r="I22" i="17"/>
  <c r="I21" i="17"/>
  <c r="I20" i="17"/>
  <c r="I19" i="17"/>
  <c r="I18" i="17"/>
  <c r="I17" i="17"/>
  <c r="I16" i="17"/>
  <c r="I15" i="17"/>
  <c r="I14" i="17"/>
  <c r="D11" i="17"/>
  <c r="C17" i="16"/>
  <c r="C19" i="16" s="1"/>
  <c r="C16" i="16"/>
  <c r="C18" i="16" s="1"/>
  <c r="B30" i="4"/>
  <c r="O8" i="5"/>
  <c r="P22" i="5"/>
  <c r="P23" i="5" s="1"/>
  <c r="I22" i="5"/>
  <c r="K22" i="5" s="1"/>
  <c r="L22" i="5" s="1"/>
  <c r="O22" i="5" s="1"/>
  <c r="O23" i="5" s="1"/>
  <c r="G22" i="5"/>
  <c r="I20" i="5"/>
  <c r="K20" i="5" s="1"/>
  <c r="L20" i="5" s="1"/>
  <c r="O20" i="5" s="1"/>
  <c r="O21" i="5" s="1"/>
  <c r="E20" i="5"/>
  <c r="G20" i="5" s="1"/>
  <c r="K18" i="5"/>
  <c r="L18" i="5" s="1"/>
  <c r="O18" i="5" s="1"/>
  <c r="O19" i="5" s="1"/>
  <c r="G18" i="5"/>
  <c r="K17" i="5"/>
  <c r="L17" i="5" s="1"/>
  <c r="O17" i="5" s="1"/>
  <c r="G17" i="5"/>
  <c r="I15" i="5"/>
  <c r="K15" i="5" s="1"/>
  <c r="L15" i="5" s="1"/>
  <c r="O15" i="5" s="1"/>
  <c r="O16" i="5" s="1"/>
  <c r="E15" i="5"/>
  <c r="G15" i="5" s="1"/>
  <c r="I13" i="5"/>
  <c r="K13" i="5" s="1"/>
  <c r="L13" i="5" s="1"/>
  <c r="O13" i="5" s="1"/>
  <c r="O14" i="5" s="1"/>
  <c r="E13" i="5"/>
  <c r="G13" i="5" s="1"/>
  <c r="P11" i="5"/>
  <c r="P12" i="5" s="1"/>
  <c r="I11" i="5"/>
  <c r="K11" i="5" s="1"/>
  <c r="L11" i="5" s="1"/>
  <c r="O11" i="5" s="1"/>
  <c r="O12" i="5" s="1"/>
  <c r="E11" i="5"/>
  <c r="G11" i="5" s="1"/>
  <c r="K9" i="5"/>
  <c r="L9" i="5" s="1"/>
  <c r="O9" i="5" s="1"/>
  <c r="O10" i="5" s="1"/>
  <c r="G9" i="5"/>
  <c r="I7" i="5"/>
  <c r="K7" i="5" s="1"/>
  <c r="L7" i="5" s="1"/>
  <c r="O7" i="5" s="1"/>
  <c r="E7" i="5"/>
  <c r="G7" i="5" s="1"/>
  <c r="K5" i="5"/>
  <c r="L5" i="5" s="1"/>
  <c r="O5" i="5" s="1"/>
  <c r="O6" i="5" s="1"/>
  <c r="G5" i="5"/>
  <c r="B3" i="14" l="1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5" i="13"/>
  <c r="J43" i="14"/>
  <c r="J44" i="14" s="1"/>
  <c r="I43" i="14"/>
  <c r="I44" i="14" s="1"/>
  <c r="H43" i="14"/>
  <c r="H44" i="14" s="1"/>
  <c r="G43" i="14"/>
  <c r="G44" i="14" s="1"/>
  <c r="F43" i="14"/>
  <c r="F44" i="14" s="1"/>
  <c r="E43" i="14"/>
  <c r="E44" i="14" s="1"/>
  <c r="D43" i="14"/>
  <c r="D44" i="14" s="1"/>
  <c r="D30" i="14"/>
  <c r="J29" i="14"/>
  <c r="J30" i="14" s="1"/>
  <c r="I29" i="14"/>
  <c r="I30" i="14" s="1"/>
  <c r="H29" i="14"/>
  <c r="H30" i="14" s="1"/>
  <c r="G29" i="14"/>
  <c r="G30" i="14" s="1"/>
  <c r="F29" i="14"/>
  <c r="F30" i="14" s="1"/>
  <c r="E29" i="14"/>
  <c r="E30" i="14" s="1"/>
  <c r="D29" i="14"/>
  <c r="D24" i="12" l="1"/>
  <c r="D23" i="12"/>
  <c r="G32" i="12"/>
  <c r="G31" i="12"/>
  <c r="G30" i="12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7" i="4"/>
  <c r="Q9" i="4" l="1"/>
  <c r="X9" i="4" s="1"/>
  <c r="Q17" i="4"/>
  <c r="X17" i="4" s="1"/>
  <c r="Q18" i="4"/>
  <c r="X18" i="4" s="1"/>
  <c r="Q21" i="4"/>
  <c r="X21" i="4" s="1"/>
  <c r="Q23" i="4"/>
  <c r="Q11" i="4" l="1"/>
  <c r="X11" i="4" s="1"/>
  <c r="X23" i="4"/>
  <c r="Q10" i="4"/>
  <c r="X10" i="4" s="1"/>
  <c r="Q8" i="4"/>
  <c r="Q16" i="4"/>
  <c r="X16" i="4" s="1"/>
  <c r="Q22" i="4"/>
  <c r="X22" i="4" s="1"/>
  <c r="Q20" i="4"/>
  <c r="X20" i="4" s="1"/>
  <c r="Q19" i="4"/>
  <c r="B13" i="15"/>
  <c r="C13" i="15" s="1"/>
  <c r="B18" i="2"/>
  <c r="B28" i="2"/>
  <c r="B23" i="15"/>
  <c r="C23" i="15" s="1"/>
  <c r="B16" i="2"/>
  <c r="B11" i="15"/>
  <c r="C11" i="15" s="1"/>
  <c r="B25" i="2"/>
  <c r="B20" i="15"/>
  <c r="C20" i="15" s="1"/>
  <c r="B13" i="2"/>
  <c r="B8" i="15"/>
  <c r="C8" i="15" s="1"/>
  <c r="B26" i="2"/>
  <c r="B21" i="15"/>
  <c r="C21" i="15" s="1"/>
  <c r="B24" i="2"/>
  <c r="B19" i="15"/>
  <c r="C19" i="15" s="1"/>
  <c r="B12" i="2"/>
  <c r="B7" i="15"/>
  <c r="C7" i="15" s="1"/>
  <c r="B17" i="2"/>
  <c r="B12" i="15"/>
  <c r="C12" i="15" s="1"/>
  <c r="B15" i="2"/>
  <c r="B10" i="15"/>
  <c r="C10" i="15" s="1"/>
  <c r="Q15" i="4"/>
  <c r="X15" i="4" s="1"/>
  <c r="B11" i="2"/>
  <c r="B6" i="15"/>
  <c r="C6" i="15" s="1"/>
  <c r="B16" i="15"/>
  <c r="C16" i="15" s="1"/>
  <c r="B21" i="2"/>
  <c r="Q14" i="4"/>
  <c r="X14" i="4" s="1"/>
  <c r="B20" i="2"/>
  <c r="B15" i="15"/>
  <c r="C15" i="15" s="1"/>
  <c r="Q25" i="4"/>
  <c r="X25" i="4" s="1"/>
  <c r="Q13" i="4"/>
  <c r="X13" i="4" s="1"/>
  <c r="AI25" i="4"/>
  <c r="B27" i="2"/>
  <c r="B22" i="15"/>
  <c r="C22" i="15" s="1"/>
  <c r="B14" i="2"/>
  <c r="B9" i="15"/>
  <c r="C9" i="15" s="1"/>
  <c r="B18" i="15"/>
  <c r="C18" i="15" s="1"/>
  <c r="B23" i="2"/>
  <c r="B22" i="2"/>
  <c r="B17" i="15"/>
  <c r="C17" i="15" s="1"/>
  <c r="B19" i="2"/>
  <c r="B14" i="15"/>
  <c r="C14" i="15" s="1"/>
  <c r="Q24" i="4"/>
  <c r="X24" i="4" s="1"/>
  <c r="Q12" i="4"/>
  <c r="AI24" i="4"/>
  <c r="AI23" i="4"/>
  <c r="C23" i="4"/>
  <c r="D23" i="4"/>
  <c r="E23" i="4"/>
  <c r="F23" i="4"/>
  <c r="C24" i="4"/>
  <c r="D24" i="4"/>
  <c r="E24" i="4"/>
  <c r="F24" i="4"/>
  <c r="C25" i="4"/>
  <c r="D25" i="4"/>
  <c r="E25" i="4"/>
  <c r="F25" i="4"/>
  <c r="B6" i="2"/>
  <c r="B2" i="15"/>
  <c r="B2" i="13"/>
  <c r="B2" i="3"/>
  <c r="B2" i="2"/>
  <c r="X8" i="4" l="1"/>
  <c r="X12" i="4"/>
  <c r="X19" i="4"/>
  <c r="G24" i="4"/>
  <c r="H24" i="4" s="1"/>
  <c r="R24" i="4" s="1"/>
  <c r="G25" i="4"/>
  <c r="H25" i="4" s="1"/>
  <c r="L25" i="4" s="1"/>
  <c r="T25" i="4" s="1"/>
  <c r="G23" i="4"/>
  <c r="H23" i="4" s="1"/>
  <c r="C38" i="5"/>
  <c r="AI2" i="4"/>
  <c r="B5" i="15"/>
  <c r="C5" i="15" s="1"/>
  <c r="B10" i="2"/>
  <c r="Q24" i="5"/>
  <c r="N24" i="5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M24" i="5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7" i="4"/>
  <c r="I31" i="12"/>
  <c r="I18" i="12"/>
  <c r="I17" i="12"/>
  <c r="I16" i="12"/>
  <c r="I15" i="12"/>
  <c r="I14" i="12"/>
  <c r="C4" i="5"/>
  <c r="B2" i="5"/>
  <c r="AI7" i="4"/>
  <c r="Q7" i="4"/>
  <c r="AS4" i="4"/>
  <c r="Q2" i="4"/>
  <c r="B2" i="4"/>
  <c r="E8" i="3"/>
  <c r="D8" i="3"/>
  <c r="C8" i="3"/>
  <c r="E7" i="3"/>
  <c r="D7" i="3"/>
  <c r="C7" i="3"/>
  <c r="B29" i="2"/>
  <c r="B8" i="2"/>
  <c r="X7" i="4" l="1"/>
  <c r="M25" i="4"/>
  <c r="U25" i="4" s="1"/>
  <c r="L24" i="4"/>
  <c r="T24" i="4" s="1"/>
  <c r="M24" i="4"/>
  <c r="U24" i="4" s="1"/>
  <c r="I24" i="4"/>
  <c r="S24" i="4" s="1"/>
  <c r="L23" i="4"/>
  <c r="T23" i="4" s="1"/>
  <c r="R23" i="4"/>
  <c r="I25" i="4"/>
  <c r="S25" i="4" s="1"/>
  <c r="R25" i="4"/>
  <c r="M23" i="4"/>
  <c r="U23" i="4" s="1"/>
  <c r="I23" i="4"/>
  <c r="S23" i="4" s="1"/>
  <c r="C13" i="3"/>
  <c r="AJ23" i="4"/>
  <c r="AJ24" i="4"/>
  <c r="AJ19" i="4"/>
  <c r="AJ21" i="4"/>
  <c r="AJ15" i="4"/>
  <c r="I32" i="12"/>
  <c r="C12" i="3"/>
  <c r="H8" i="15"/>
  <c r="J8" i="15" s="1"/>
  <c r="I10" i="15"/>
  <c r="I8" i="15"/>
  <c r="H10" i="15"/>
  <c r="J10" i="15" s="1"/>
  <c r="K24" i="5"/>
  <c r="G24" i="5"/>
  <c r="G18" i="4"/>
  <c r="H18" i="4" s="1"/>
  <c r="R18" i="4" s="1"/>
  <c r="G22" i="4"/>
  <c r="H22" i="4" s="1"/>
  <c r="R22" i="4" s="1"/>
  <c r="G17" i="4"/>
  <c r="H17" i="4" s="1"/>
  <c r="R17" i="4" s="1"/>
  <c r="G20" i="4"/>
  <c r="H20" i="4" s="1"/>
  <c r="R20" i="4" s="1"/>
  <c r="G19" i="4"/>
  <c r="H19" i="4" s="1"/>
  <c r="R19" i="4" s="1"/>
  <c r="G21" i="4"/>
  <c r="H21" i="4" s="1"/>
  <c r="R21" i="4" s="1"/>
  <c r="E26" i="4"/>
  <c r="F26" i="4"/>
  <c r="D26" i="4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6" i="4"/>
  <c r="C5" i="2" s="1"/>
  <c r="G14" i="4"/>
  <c r="H14" i="4" s="1"/>
  <c r="R14" i="4" s="1"/>
  <c r="G13" i="4"/>
  <c r="H13" i="4" s="1"/>
  <c r="R13" i="4" s="1"/>
  <c r="J26" i="4"/>
  <c r="G10" i="4"/>
  <c r="H10" i="4" s="1"/>
  <c r="R10" i="4" s="1"/>
  <c r="G8" i="4"/>
  <c r="H8" i="4" s="1"/>
  <c r="R8" i="4" s="1"/>
  <c r="K26" i="4"/>
  <c r="L24" i="5"/>
  <c r="G9" i="4"/>
  <c r="H9" i="4" s="1"/>
  <c r="R9" i="4" s="1"/>
  <c r="D11" i="12"/>
  <c r="E28" i="5" s="1"/>
  <c r="AJ14" i="4"/>
  <c r="AJ12" i="4"/>
  <c r="AJ20" i="4"/>
  <c r="I30" i="12"/>
  <c r="AJ22" i="4" l="1"/>
  <c r="D27" i="12"/>
  <c r="E29" i="5" s="1"/>
  <c r="AJ16" i="4"/>
  <c r="AJ13" i="4"/>
  <c r="AJ8" i="4"/>
  <c r="AJ25" i="4"/>
  <c r="AJ10" i="4"/>
  <c r="AJ18" i="4"/>
  <c r="AJ17" i="4"/>
  <c r="N25" i="4"/>
  <c r="O25" i="4" s="1"/>
  <c r="N24" i="4"/>
  <c r="O24" i="4" s="1"/>
  <c r="N23" i="4"/>
  <c r="O23" i="4" s="1"/>
  <c r="M8" i="4"/>
  <c r="U8" i="4" s="1"/>
  <c r="I10" i="4"/>
  <c r="S10" i="4" s="1"/>
  <c r="I13" i="4"/>
  <c r="S13" i="4" s="1"/>
  <c r="L14" i="4"/>
  <c r="T14" i="4" s="1"/>
  <c r="I18" i="4"/>
  <c r="S18" i="4" s="1"/>
  <c r="AJ7" i="4"/>
  <c r="AJ9" i="4"/>
  <c r="AJ11" i="4"/>
  <c r="L21" i="4"/>
  <c r="T21" i="4" s="1"/>
  <c r="L20" i="4"/>
  <c r="T20" i="4" s="1"/>
  <c r="L22" i="4"/>
  <c r="T22" i="4" s="1"/>
  <c r="L18" i="4"/>
  <c r="T18" i="4" s="1"/>
  <c r="M18" i="4"/>
  <c r="U18" i="4" s="1"/>
  <c r="L19" i="4"/>
  <c r="T19" i="4" s="1"/>
  <c r="M22" i="4"/>
  <c r="U22" i="4" s="1"/>
  <c r="I22" i="4"/>
  <c r="S22" i="4" s="1"/>
  <c r="I17" i="4"/>
  <c r="S17" i="4" s="1"/>
  <c r="L17" i="4"/>
  <c r="T17" i="4" s="1"/>
  <c r="M17" i="4"/>
  <c r="U17" i="4" s="1"/>
  <c r="I20" i="4"/>
  <c r="S20" i="4" s="1"/>
  <c r="I21" i="4"/>
  <c r="S21" i="4" s="1"/>
  <c r="M21" i="4"/>
  <c r="U21" i="4" s="1"/>
  <c r="I19" i="4"/>
  <c r="S19" i="4" s="1"/>
  <c r="M20" i="4"/>
  <c r="U20" i="4" s="1"/>
  <c r="M19" i="4"/>
  <c r="U19" i="4" s="1"/>
  <c r="H7" i="4"/>
  <c r="G26" i="4"/>
  <c r="I14" i="4"/>
  <c r="S14" i="4" s="1"/>
  <c r="L11" i="4"/>
  <c r="T11" i="4" s="1"/>
  <c r="M11" i="4"/>
  <c r="U11" i="4" s="1"/>
  <c r="M14" i="4"/>
  <c r="U14" i="4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6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6" i="4"/>
  <c r="I9" i="4"/>
  <c r="S9" i="4" s="1"/>
  <c r="M9" i="4"/>
  <c r="U9" i="4" s="1"/>
  <c r="L9" i="4"/>
  <c r="T9" i="4" s="1"/>
  <c r="W26" i="4"/>
  <c r="C33" i="5"/>
  <c r="Y23" i="4" l="1"/>
  <c r="Y25" i="4"/>
  <c r="Y24" i="4"/>
  <c r="H26" i="4"/>
  <c r="R7" i="4"/>
  <c r="R26" i="4" s="1"/>
  <c r="N18" i="4"/>
  <c r="O18" i="4" s="1"/>
  <c r="I7" i="4"/>
  <c r="S7" i="4" s="1"/>
  <c r="N22" i="4"/>
  <c r="O22" i="4" s="1"/>
  <c r="N17" i="4"/>
  <c r="O17" i="4" s="1"/>
  <c r="N19" i="4"/>
  <c r="O19" i="4" s="1"/>
  <c r="M7" i="4"/>
  <c r="L7" i="4"/>
  <c r="T7" i="4" s="1"/>
  <c r="N20" i="4"/>
  <c r="O20" i="4" s="1"/>
  <c r="N21" i="4"/>
  <c r="O21" i="4" s="1"/>
  <c r="N14" i="4"/>
  <c r="O14" i="4" s="1"/>
  <c r="N11" i="4"/>
  <c r="O11" i="4" s="1"/>
  <c r="N13" i="4"/>
  <c r="O13" i="4" s="1"/>
  <c r="N12" i="4"/>
  <c r="O12" i="4" s="1"/>
  <c r="N15" i="4"/>
  <c r="O15" i="4" s="1"/>
  <c r="N16" i="4"/>
  <c r="O16" i="4" s="1"/>
  <c r="N10" i="4"/>
  <c r="O10" i="4" s="1"/>
  <c r="N8" i="4"/>
  <c r="O8" i="4" s="1"/>
  <c r="N9" i="4"/>
  <c r="O9" i="4" s="1"/>
  <c r="Y8" i="4" l="1"/>
  <c r="M26" i="4"/>
  <c r="U7" i="4"/>
  <c r="U26" i="4" s="1"/>
  <c r="I26" i="4"/>
  <c r="Y18" i="4"/>
  <c r="Y14" i="4"/>
  <c r="Y9" i="4"/>
  <c r="Y10" i="4"/>
  <c r="Y16" i="4"/>
  <c r="Y21" i="4"/>
  <c r="Y20" i="4"/>
  <c r="Y15" i="4"/>
  <c r="Y12" i="4"/>
  <c r="Y13" i="4"/>
  <c r="Y19" i="4"/>
  <c r="Y17" i="4"/>
  <c r="Y11" i="4"/>
  <c r="Y22" i="4"/>
  <c r="N7" i="4"/>
  <c r="O7" i="4" s="1"/>
  <c r="T26" i="4"/>
  <c r="L26" i="4"/>
  <c r="V26" i="4"/>
  <c r="S26" i="4"/>
  <c r="Y7" i="4" l="1"/>
  <c r="Y26" i="4" s="1"/>
  <c r="O26" i="4"/>
  <c r="K8" i="15"/>
  <c r="K10" i="15"/>
  <c r="N26" i="4"/>
  <c r="AC5" i="4" s="1"/>
  <c r="Z24" i="4" l="1"/>
  <c r="AD24" i="4" s="1"/>
  <c r="AA24" i="4"/>
  <c r="AE24" i="4" s="1"/>
  <c r="AL24" i="4" s="1"/>
  <c r="AB24" i="4"/>
  <c r="AF24" i="4" s="1"/>
  <c r="AM24" i="4" s="1"/>
  <c r="AC24" i="4"/>
  <c r="AG24" i="4" s="1"/>
  <c r="AN24" i="4" s="1"/>
  <c r="Z23" i="4"/>
  <c r="AD23" i="4" s="1"/>
  <c r="AA23" i="4"/>
  <c r="AE23" i="4" s="1"/>
  <c r="AL23" i="4" s="1"/>
  <c r="AC23" i="4"/>
  <c r="AG23" i="4" s="1"/>
  <c r="AN23" i="4" s="1"/>
  <c r="AB23" i="4"/>
  <c r="AF23" i="4" s="1"/>
  <c r="AM23" i="4" s="1"/>
  <c r="Z25" i="4"/>
  <c r="AD25" i="4" s="1"/>
  <c r="AA25" i="4"/>
  <c r="AE25" i="4" s="1"/>
  <c r="AL25" i="4" s="1"/>
  <c r="AB25" i="4"/>
  <c r="AF25" i="4" s="1"/>
  <c r="AM25" i="4" s="1"/>
  <c r="AC25" i="4"/>
  <c r="AG25" i="4" s="1"/>
  <c r="AN25" i="4" s="1"/>
  <c r="C34" i="5"/>
  <c r="C35" i="5" s="1"/>
  <c r="AK23" i="4" l="1"/>
  <c r="D21" i="15"/>
  <c r="AK25" i="4"/>
  <c r="D23" i="15"/>
  <c r="D22" i="15"/>
  <c r="AK24" i="4"/>
  <c r="AA8" i="4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AA21" i="4"/>
  <c r="AE21" i="4" s="1"/>
  <c r="AL21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AB21" i="4"/>
  <c r="AF21" i="4" s="1"/>
  <c r="AM21" i="4" s="1"/>
  <c r="Z9" i="4"/>
  <c r="AD9" i="4" s="1"/>
  <c r="Z21" i="4"/>
  <c r="AD21" i="4" s="1"/>
  <c r="AC9" i="4"/>
  <c r="AG9" i="4" s="1"/>
  <c r="AN9" i="4" s="1"/>
  <c r="AC13" i="4"/>
  <c r="AG13" i="4" s="1"/>
  <c r="AN13" i="4" s="1"/>
  <c r="AC17" i="4"/>
  <c r="AG17" i="4" s="1"/>
  <c r="AN17" i="4" s="1"/>
  <c r="AC21" i="4"/>
  <c r="AG21" i="4" s="1"/>
  <c r="AN21" i="4" s="1"/>
  <c r="Z10" i="4"/>
  <c r="AD10" i="4" s="1"/>
  <c r="Z22" i="4"/>
  <c r="AD22" i="4" s="1"/>
  <c r="AA10" i="4"/>
  <c r="AE10" i="4" s="1"/>
  <c r="AL10" i="4" s="1"/>
  <c r="AA14" i="4"/>
  <c r="AE14" i="4" s="1"/>
  <c r="AL14" i="4" s="1"/>
  <c r="AA18" i="4"/>
  <c r="AE18" i="4" s="1"/>
  <c r="AL18" i="4" s="1"/>
  <c r="AA22" i="4"/>
  <c r="AE22" i="4" s="1"/>
  <c r="AL22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AB22" i="4"/>
  <c r="AF22" i="4" s="1"/>
  <c r="AM22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AC22" i="4"/>
  <c r="AG22" i="4" s="1"/>
  <c r="AN22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13" i="15" l="1"/>
  <c r="AK15" i="4"/>
  <c r="AK22" i="4"/>
  <c r="D20" i="15"/>
  <c r="AK12" i="4"/>
  <c r="D10" i="15"/>
  <c r="AK10" i="4"/>
  <c r="D8" i="15"/>
  <c r="AK8" i="4"/>
  <c r="D6" i="15"/>
  <c r="D16" i="15"/>
  <c r="AK18" i="4"/>
  <c r="AK14" i="4"/>
  <c r="D12" i="15"/>
  <c r="AO24" i="4"/>
  <c r="C27" i="2" s="1"/>
  <c r="E22" i="15"/>
  <c r="AK17" i="4"/>
  <c r="D15" i="15"/>
  <c r="AO25" i="4"/>
  <c r="C28" i="2" s="1"/>
  <c r="E23" i="15"/>
  <c r="D18" i="15"/>
  <c r="AK20" i="4"/>
  <c r="AK21" i="4"/>
  <c r="D19" i="15"/>
  <c r="AK13" i="4"/>
  <c r="D11" i="15"/>
  <c r="H9" i="15" s="1"/>
  <c r="J9" i="15" s="1"/>
  <c r="AK11" i="4"/>
  <c r="D9" i="15"/>
  <c r="AK9" i="4"/>
  <c r="D7" i="15"/>
  <c r="AK19" i="4"/>
  <c r="D17" i="15"/>
  <c r="H6" i="15" s="1"/>
  <c r="J6" i="15" s="1"/>
  <c r="AK16" i="4"/>
  <c r="D14" i="15"/>
  <c r="AO23" i="4"/>
  <c r="E21" i="15"/>
  <c r="AB26" i="4"/>
  <c r="AF7" i="4"/>
  <c r="AF26" i="4" s="1"/>
  <c r="AA26" i="4"/>
  <c r="AC26" i="4"/>
  <c r="Z26" i="4"/>
  <c r="AG26" i="4"/>
  <c r="AN7" i="4"/>
  <c r="AN26" i="4" s="1"/>
  <c r="AW7" i="4" s="1"/>
  <c r="AW8" i="4" s="1"/>
  <c r="AD26" i="4"/>
  <c r="AK7" i="4"/>
  <c r="AE26" i="4"/>
  <c r="AL7" i="4"/>
  <c r="AL26" i="4" s="1"/>
  <c r="AU7" i="4" s="1"/>
  <c r="AU8" i="4" s="1"/>
  <c r="AP23" i="4" l="1"/>
  <c r="AQ23" i="4" s="1"/>
  <c r="E19" i="15"/>
  <c r="AO21" i="4"/>
  <c r="C24" i="2" s="1"/>
  <c r="AO16" i="4"/>
  <c r="E14" i="15"/>
  <c r="AO20" i="4"/>
  <c r="C23" i="2" s="1"/>
  <c r="E18" i="15"/>
  <c r="AO19" i="4"/>
  <c r="C22" i="2" s="1"/>
  <c r="E17" i="15"/>
  <c r="I6" i="15" s="1"/>
  <c r="AP25" i="4"/>
  <c r="AQ25" i="4" s="1"/>
  <c r="E8" i="15"/>
  <c r="AO10" i="4"/>
  <c r="E7" i="15"/>
  <c r="AO9" i="4"/>
  <c r="AO17" i="4"/>
  <c r="C20" i="2" s="1"/>
  <c r="E15" i="15"/>
  <c r="E10" i="15"/>
  <c r="AO12" i="4"/>
  <c r="AO8" i="4"/>
  <c r="E6" i="15"/>
  <c r="AO18" i="4"/>
  <c r="C21" i="2" s="1"/>
  <c r="E16" i="15"/>
  <c r="C26" i="2"/>
  <c r="E9" i="15"/>
  <c r="AO11" i="4"/>
  <c r="AP24" i="4"/>
  <c r="AQ24" i="4" s="1"/>
  <c r="E20" i="15"/>
  <c r="AO22" i="4"/>
  <c r="C25" i="2" s="1"/>
  <c r="AO15" i="4"/>
  <c r="E13" i="15"/>
  <c r="AO13" i="4"/>
  <c r="E11" i="15"/>
  <c r="I9" i="15" s="1"/>
  <c r="AO14" i="4"/>
  <c r="E12" i="15"/>
  <c r="D28" i="2"/>
  <c r="E28" i="2" s="1"/>
  <c r="F28" i="2"/>
  <c r="H5" i="15"/>
  <c r="D5" i="15"/>
  <c r="H7" i="15" s="1"/>
  <c r="J7" i="15" s="1"/>
  <c r="AM7" i="4"/>
  <c r="AM26" i="4" s="1"/>
  <c r="AV7" i="4" s="1"/>
  <c r="AV8" i="4" s="1"/>
  <c r="AK26" i="4"/>
  <c r="I5" i="15" l="1"/>
  <c r="AP18" i="4"/>
  <c r="AQ18" i="4" s="1"/>
  <c r="AP15" i="4"/>
  <c r="AQ15" i="4" s="1"/>
  <c r="AP12" i="4"/>
  <c r="AQ12" i="4" s="1"/>
  <c r="AP13" i="4"/>
  <c r="AQ13" i="4" s="1"/>
  <c r="AP22" i="4"/>
  <c r="AQ22" i="4" s="1"/>
  <c r="AP20" i="4"/>
  <c r="AQ20" i="4" s="1"/>
  <c r="AP14" i="4"/>
  <c r="AQ14" i="4" s="1"/>
  <c r="AP19" i="4"/>
  <c r="AQ19" i="4" s="1"/>
  <c r="AP16" i="4"/>
  <c r="AQ16" i="4" s="1"/>
  <c r="AP17" i="4"/>
  <c r="AQ17" i="4" s="1"/>
  <c r="AP9" i="4"/>
  <c r="AQ9" i="4" s="1"/>
  <c r="AP21" i="4"/>
  <c r="AQ21" i="4" s="1"/>
  <c r="AP8" i="4"/>
  <c r="AQ8" i="4" s="1"/>
  <c r="AP11" i="4"/>
  <c r="AQ11" i="4" s="1"/>
  <c r="AP10" i="4"/>
  <c r="AQ10" i="4" s="1"/>
  <c r="C12" i="2"/>
  <c r="D12" i="2" s="1"/>
  <c r="E12" i="2" s="1"/>
  <c r="C13" i="2"/>
  <c r="D13" i="2" s="1"/>
  <c r="E13" i="2" s="1"/>
  <c r="C18" i="2"/>
  <c r="F18" i="2" s="1"/>
  <c r="C17" i="2"/>
  <c r="D17" i="2" s="1"/>
  <c r="E17" i="2" s="1"/>
  <c r="C14" i="2"/>
  <c r="F14" i="2" s="1"/>
  <c r="C16" i="2"/>
  <c r="F16" i="2" s="1"/>
  <c r="C19" i="2"/>
  <c r="F19" i="2" s="1"/>
  <c r="C15" i="2"/>
  <c r="D15" i="2" s="1"/>
  <c r="E15" i="2" s="1"/>
  <c r="G28" i="2"/>
  <c r="H28" i="2" s="1"/>
  <c r="C11" i="2"/>
  <c r="D11" i="2" s="1"/>
  <c r="E11" i="2" s="1"/>
  <c r="H11" i="15"/>
  <c r="J11" i="15" s="1"/>
  <c r="D24" i="15"/>
  <c r="K9" i="15"/>
  <c r="E5" i="15"/>
  <c r="I7" i="15" s="1"/>
  <c r="J5" i="15"/>
  <c r="K6" i="15"/>
  <c r="D21" i="2"/>
  <c r="E21" i="2" s="1"/>
  <c r="F21" i="2"/>
  <c r="D23" i="2"/>
  <c r="E23" i="2" s="1"/>
  <c r="F23" i="2"/>
  <c r="D25" i="2"/>
  <c r="E25" i="2" s="1"/>
  <c r="F25" i="2"/>
  <c r="D24" i="2"/>
  <c r="E24" i="2" s="1"/>
  <c r="F24" i="2"/>
  <c r="AO7" i="4"/>
  <c r="AP7" i="4" s="1"/>
  <c r="AT7" i="4"/>
  <c r="AT8" i="4" s="1"/>
  <c r="AT10" i="4" s="1"/>
  <c r="F12" i="2" l="1"/>
  <c r="G12" i="2" s="1"/>
  <c r="H12" i="2" s="1"/>
  <c r="F15" i="2"/>
  <c r="G15" i="2" s="1"/>
  <c r="H15" i="2" s="1"/>
  <c r="D18" i="2"/>
  <c r="E18" i="2" s="1"/>
  <c r="F13" i="2"/>
  <c r="G13" i="2" s="1"/>
  <c r="H13" i="2" s="1"/>
  <c r="D14" i="2"/>
  <c r="E14" i="2" s="1"/>
  <c r="F11" i="2"/>
  <c r="G11" i="2" s="1"/>
  <c r="H11" i="2" s="1"/>
  <c r="D19" i="2"/>
  <c r="E19" i="2" s="1"/>
  <c r="G16" i="2"/>
  <c r="H16" i="2" s="1"/>
  <c r="G19" i="2"/>
  <c r="H19" i="2" s="1"/>
  <c r="G14" i="2"/>
  <c r="H14" i="2" s="1"/>
  <c r="G18" i="2"/>
  <c r="H18" i="2" s="1"/>
  <c r="D16" i="2"/>
  <c r="E16" i="2" s="1"/>
  <c r="F17" i="2"/>
  <c r="H13" i="15"/>
  <c r="L5" i="15" s="1"/>
  <c r="I11" i="15"/>
  <c r="K11" i="15" s="1"/>
  <c r="E24" i="15"/>
  <c r="J13" i="15"/>
  <c r="K5" i="15"/>
  <c r="G24" i="2"/>
  <c r="H24" i="2" s="1"/>
  <c r="G21" i="2"/>
  <c r="H21" i="2" s="1"/>
  <c r="G25" i="2"/>
  <c r="H25" i="2" s="1"/>
  <c r="G23" i="2"/>
  <c r="H23" i="2" s="1"/>
  <c r="D26" i="2"/>
  <c r="E26" i="2" s="1"/>
  <c r="F26" i="2"/>
  <c r="F20" i="2"/>
  <c r="D20" i="2"/>
  <c r="E20" i="2" s="1"/>
  <c r="D22" i="2"/>
  <c r="E22" i="2" s="1"/>
  <c r="F22" i="2"/>
  <c r="AP26" i="4"/>
  <c r="AO26" i="4"/>
  <c r="C10" i="2"/>
  <c r="C29" i="2" s="1"/>
  <c r="AQ7" i="4"/>
  <c r="AQ26" i="4" s="1"/>
  <c r="AT11" i="4"/>
  <c r="D5" i="2"/>
  <c r="AT12" i="4"/>
  <c r="G17" i="2" l="1"/>
  <c r="H17" i="2" s="1"/>
  <c r="D27" i="2"/>
  <c r="E27" i="2" s="1"/>
  <c r="F27" i="2"/>
  <c r="I13" i="15"/>
  <c r="M11" i="15" s="1"/>
  <c r="L9" i="15"/>
  <c r="L10" i="15"/>
  <c r="L7" i="15"/>
  <c r="L11" i="15"/>
  <c r="L6" i="15"/>
  <c r="L8" i="15"/>
  <c r="K7" i="15"/>
  <c r="K13" i="15" s="1"/>
  <c r="G22" i="2"/>
  <c r="H22" i="2" s="1"/>
  <c r="G26" i="2"/>
  <c r="H26" i="2" s="1"/>
  <c r="G20" i="2"/>
  <c r="H20" i="2" s="1"/>
  <c r="D10" i="2"/>
  <c r="F10" i="2"/>
  <c r="E5" i="2"/>
  <c r="E6" i="2" s="1"/>
  <c r="I20" i="2" s="1"/>
  <c r="D6" i="2"/>
  <c r="AT13" i="4"/>
  <c r="AT15" i="4" s="1"/>
  <c r="F5" i="2"/>
  <c r="H5" i="2" s="1"/>
  <c r="AT14" i="4"/>
  <c r="F29" i="2" l="1"/>
  <c r="D29" i="2"/>
  <c r="I27" i="2"/>
  <c r="I17" i="2"/>
  <c r="I22" i="2"/>
  <c r="I28" i="2"/>
  <c r="I16" i="2"/>
  <c r="I11" i="2"/>
  <c r="I23" i="2"/>
  <c r="I19" i="2"/>
  <c r="I25" i="2"/>
  <c r="I24" i="2"/>
  <c r="I15" i="2"/>
  <c r="I14" i="2"/>
  <c r="I12" i="2"/>
  <c r="I18" i="2"/>
  <c r="I21" i="2"/>
  <c r="I13" i="2"/>
  <c r="I26" i="2"/>
  <c r="G27" i="2"/>
  <c r="H27" i="2" s="1"/>
  <c r="H6" i="2"/>
  <c r="I5" i="2"/>
  <c r="I6" i="2" s="1"/>
  <c r="M7" i="15"/>
  <c r="L13" i="15"/>
  <c r="M9" i="15"/>
  <c r="M6" i="15"/>
  <c r="M10" i="15"/>
  <c r="M8" i="15"/>
  <c r="M5" i="15"/>
  <c r="E10" i="2"/>
  <c r="E29" i="2" s="1"/>
  <c r="G10" i="2"/>
  <c r="I10" i="2"/>
  <c r="G5" i="2"/>
  <c r="G6" i="2" s="1"/>
  <c r="F6" i="2"/>
  <c r="G29" i="2" l="1"/>
  <c r="I29" i="2"/>
  <c r="F11" i="1"/>
  <c r="G11" i="1" s="1"/>
  <c r="M13" i="15"/>
  <c r="H10" i="2"/>
  <c r="H29" i="2" s="1"/>
</calcChain>
</file>

<file path=xl/sharedStrings.xml><?xml version="1.0" encoding="utf-8"?>
<sst xmlns="http://schemas.openxmlformats.org/spreadsheetml/2006/main" count="648" uniqueCount="318">
  <si>
    <t>PLANILHA DETALHADA DE FORMAÇÃO DE PREÇO</t>
  </si>
  <si>
    <t>NÃO DESONERADA</t>
  </si>
  <si>
    <t>ITEM</t>
  </si>
  <si>
    <t>DESCRIÇÃO DO SERVIÇO</t>
  </si>
  <si>
    <t>UN.</t>
  </si>
  <si>
    <t>QTE.</t>
  </si>
  <si>
    <t>PREÇO UNITÁRIO (R$)</t>
  </si>
  <si>
    <t>PREÇO ANUAL (R$)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</si>
  <si>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</si>
  <si>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</si>
  <si>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</si>
  <si>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</si>
  <si>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</si>
  <si>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</si>
  <si>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</si>
  <si>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</si>
  <si>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</si>
  <si>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</si>
  <si>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</si>
  <si>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</si>
  <si>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</si>
  <si>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</si>
  <si>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</si>
  <si>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</si>
  <si>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</si>
  <si>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</si>
  <si>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</si>
  <si>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</si>
  <si>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</si>
  <si>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</si>
  <si>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</si>
  <si>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</si>
  <si>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</si>
  <si>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</si>
  <si>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</si>
  <si>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</si>
  <si>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</si>
  <si>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</si>
  <si>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</si>
  <si>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</si>
  <si>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</si>
  <si>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</si>
  <si>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</si>
  <si>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</si>
  <si>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</si>
  <si>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</si>
  <si>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</si>
  <si>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</si>
  <si>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</si>
  <si>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</si>
  <si>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</si>
  <si>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</si>
  <si>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</si>
  <si>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</si>
  <si>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</si>
  <si>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</si>
  <si>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</si>
  <si>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</si>
  <si>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</si>
  <si>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</si>
  <si>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</si>
  <si>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</si>
  <si>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</si>
  <si>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</si>
  <si>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</si>
  <si>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</si>
  <si>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</si>
  <si>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</si>
  <si>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</si>
  <si>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</si>
  <si>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</si>
  <si>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</si>
  <si>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</si>
  <si>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</si>
  <si>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Custo por tipo de rotina</t>
  </si>
  <si>
    <t>Custo Anual por tipo de rotina</t>
  </si>
  <si>
    <t>Custo Anual Preventiva</t>
  </si>
  <si>
    <t>Custo Anual Corretiva</t>
  </si>
  <si>
    <t>Custo Médio Mensal Manutenção</t>
  </si>
  <si>
    <t>Custo Anual Manutenção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</si>
  <si>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</si>
  <si>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</si>
  <si>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</si>
  <si>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</si>
  <si>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</si>
  <si>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</si>
  <si>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</si>
  <si>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</si>
  <si>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</si>
  <si>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</si>
  <si>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</si>
  <si>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</si>
  <si>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</si>
  <si>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</si>
  <si>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</si>
  <si>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</si>
  <si>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</si>
  <si>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</si>
  <si>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</si>
  <si>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</si>
  <si>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</si>
  <si>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</si>
  <si>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</si>
  <si>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</si>
  <si>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</si>
  <si>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</si>
  <si>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</si>
  <si>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</si>
  <si>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</si>
  <si>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COMPOSIÇÃO CUSTO DO VEÍCULO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</si>
  <si>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</si>
  <si>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</si>
  <si>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</si>
  <si>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</si>
  <si>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</si>
  <si>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Tipo</t>
  </si>
  <si>
    <t>CHOR - CUSTOS HORÁRIOS DE MÁQUINAS E EQUIPAMENTOS</t>
  </si>
  <si>
    <t>Valor Não Desonerado</t>
  </si>
  <si>
    <t>Coeficiente</t>
  </si>
  <si>
    <t>C</t>
  </si>
  <si>
    <t>H</t>
  </si>
  <si>
    <t>1,0</t>
  </si>
  <si>
    <t>92140</t>
  </si>
  <si>
    <t>CAMINHONETE CABINE SIMPLES COM MOTOR 1.6 FLEX, CÂMBIO MANUAL, POTÊNCIA 101/104 CV, 2 PORTAS - DEPRECIAÇÃO. AF_11/2015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</si>
  <si>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</si>
  <si>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</si>
  <si>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</si>
  <si>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</si>
  <si>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</si>
  <si>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</si>
  <si>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</si>
  <si>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</si>
  <si>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92145 (SEM MOTORISTA)</t>
  </si>
  <si>
    <t>codigo</t>
  </si>
  <si>
    <t>92146</t>
  </si>
  <si>
    <t>CAMINHONETE CABINE SIMPLES COM MOTOR 1.6 FLEX, CÂMBIO MANUAL, POTÊNCIA 101/104 CV, 2 PORTAS - CHI DIURNO. AF_11/2015</t>
  </si>
  <si>
    <t>Composição ALTERADA SINAPI – 92146 (SEM MOTORISTA)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</si>
  <si>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</si>
  <si>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</si>
  <si>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</si>
  <si>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</si>
  <si>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</si>
  <si>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</si>
  <si>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</si>
  <si>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</si>
  <si>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</si>
  <si>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</si>
  <si>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NÃO</t>
  </si>
  <si>
    <t>SIM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</si>
  <si>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</si>
  <si>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</si>
  <si>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</si>
  <si>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</si>
  <si>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</si>
  <si>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</si>
  <si>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</si>
  <si>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</si>
  <si>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</si>
  <si>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</si>
  <si>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</si>
  <si>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</si>
  <si>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</si>
  <si>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</si>
  <si>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</si>
  <si>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</si>
  <si>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</si>
  <si>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</si>
  <si>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</si>
  <si>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</si>
  <si>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</si>
  <si>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</si>
  <si>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</si>
  <si>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</si>
  <si>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</si>
  <si>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SANTA MARIA</t>
  </si>
  <si>
    <t>Preços pesquisados em 20/10/2023.</t>
  </si>
  <si>
    <t>Rio Grande do Sul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</si>
  <si>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</si>
  <si>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</si>
  <si>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</si>
  <si>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</si>
  <si>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</si>
  <si>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</si>
  <si>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</si>
  <si>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</si>
  <si>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</si>
  <si>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</si>
  <si>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</si>
  <si>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</si>
  <si>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</si>
  <si>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</si>
  <si>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POLO IX</t>
  </si>
  <si>
    <t>Serviço de manutenção predial preventiva e corretiva por demanda, com fornecimento de materiais, peças e componentes, nos imóveis relacionados no Polo Regional IX.</t>
  </si>
  <si>
    <t>PASSO FUNDO</t>
  </si>
  <si>
    <t>CAXIAS DO SUL</t>
  </si>
  <si>
    <t>APS Nova Prata</t>
  </si>
  <si>
    <t>Av. Placidina de Araújo, 742</t>
  </si>
  <si>
    <t>APS Vacaria</t>
  </si>
  <si>
    <t>Rua Marechal Floriano, 250</t>
  </si>
  <si>
    <t>APS Veranópolis</t>
  </si>
  <si>
    <t>Rua General Flores da Cunha, 454</t>
  </si>
  <si>
    <t>APS Carazinho</t>
  </si>
  <si>
    <t>Av. Pátria, 525, Centro</t>
  </si>
  <si>
    <t>APS Casca</t>
  </si>
  <si>
    <t>Rua Gal. Pinheiro Machado, 20, Centro</t>
  </si>
  <si>
    <t>APS Erechim</t>
  </si>
  <si>
    <t>Av. Tiradentes, 401, Centro</t>
  </si>
  <si>
    <t>APS Espumoso</t>
  </si>
  <si>
    <t>Rua Vasco da Gama, 259, Centro</t>
  </si>
  <si>
    <t>APS Getúlio Vargas</t>
  </si>
  <si>
    <t>Av. Borges de Medeiros, 785, Centro</t>
  </si>
  <si>
    <t>APS Guaporé</t>
  </si>
  <si>
    <t>Rua Cel. Agilberto Maia, 715, Centro</t>
  </si>
  <si>
    <t>APS Lagoa Vermelha</t>
  </si>
  <si>
    <t>Rua Bento Gonçalves, 304, Centro</t>
  </si>
  <si>
    <t>APS Marau</t>
  </si>
  <si>
    <t>Rua Irineu Ferlin, 16, Centro</t>
  </si>
  <si>
    <t>APS Sarandi</t>
  </si>
  <si>
    <t>Av. 7 de Setembro, 2111, Centro</t>
  </si>
  <si>
    <t>APS Serafina Corrêa</t>
  </si>
  <si>
    <t>Rua Costa e Silva, 703, Centro</t>
  </si>
  <si>
    <t>APS Soledade</t>
  </si>
  <si>
    <t>Av. Maurício Cardoso, 1224, Centro</t>
  </si>
  <si>
    <t>GEX/APS Passo Fundo</t>
  </si>
  <si>
    <t>Rua General Osório, 1244, Centro</t>
  </si>
  <si>
    <t>APS Candelária</t>
  </si>
  <si>
    <t>Rua 25 de Agosto, 90, Centro</t>
  </si>
  <si>
    <t>APS Santa Cruz do Sul</t>
  </si>
  <si>
    <t>Rua Ramiro Barcelos, 1430, Centro</t>
  </si>
  <si>
    <t>APS Sobradinho</t>
  </si>
  <si>
    <t>Rua Pedro Alvares Cabral, S/N, Centro</t>
  </si>
  <si>
    <t>APS Venâncio Aires</t>
  </si>
  <si>
    <t>Rua Jacob Becker, 1733, Centro</t>
  </si>
  <si>
    <t>1.27</t>
  </si>
  <si>
    <t>* Tabela SINAPI Outubro/2023 (Não Desonerado)</t>
  </si>
  <si>
    <t>Oficial de Manutenção Predial</t>
  </si>
  <si>
    <t>Ajudante (ref. SINAPI/88241)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</si>
  <si>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</si>
  <si>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</si>
  <si>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</si>
  <si>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</si>
  <si>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</si>
  <si>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</si>
  <si>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</si>
  <si>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</si>
  <si>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</si>
  <si>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</si>
  <si>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</si>
  <si>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</si>
  <si>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</si>
  <si>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</si>
  <si>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</si>
  <si>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</si>
  <si>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</si>
  <si>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</si>
  <si>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</si>
  <si>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</si>
  <si>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</si>
  <si>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</si>
  <si>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</si>
  <si>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</si>
  <si>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</si>
  <si>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</si>
  <si>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10/2023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</si>
  <si>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</si>
  <si>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</si>
  <si>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</si>
  <si>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</si>
  <si>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</si>
  <si>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</si>
  <si>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</si>
  <si>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</si>
  <si>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</si>
  <si>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</si>
  <si>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</si>
  <si>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</si>
  <si>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</si>
  <si>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</si>
  <si>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</si>
  <si>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</si>
  <si>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</si>
  <si>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Subestação?</t>
  </si>
  <si>
    <t>Inclui eletrotécnico no deslocamento?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</si>
  <si>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</si>
  <si>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</si>
  <si>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</si>
  <si>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</si>
  <si>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</si>
  <si>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</si>
  <si>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</si>
  <si>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</si>
  <si>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</si>
  <si>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</si>
  <si>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</si>
  <si>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</si>
  <si>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</si>
  <si>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</si>
  <si>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</si>
  <si>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</si>
  <si>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</si>
  <si>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</si>
  <si>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</si>
  <si>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</si>
  <si>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</si>
  <si>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</si>
  <si>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</si>
  <si>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</si>
  <si>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</si>
  <si>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</si>
  <si>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</si>
  <si>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</si>
  <si>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</si>
  <si>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</si>
  <si>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</si>
  <si>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</si>
  <si>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</si>
  <si>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VALOR TOTAL DO ITEM 9: R$ 1.311.166,68 (Um milhão, trezentos e onze mil, cento e sessenta e seis reais e sessenta e oito centavos).</t>
  </si>
  <si>
    <t>ANEXO I – B20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</si>
</sst>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&quot;R$&quot;\ #,##0.00"/>
    <numFmt numFmtId="172" formatCode="d/m/yyyy"/>
  </numFmts>
  <fonts count="27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23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10" fontId="9" fillId="0" borderId="1" xfId="2" applyNumberFormat="1" applyBorder="1" applyAlignment="1" applyProtection="1">
      <alignment horizontal="center" vertical="center" wrapText="1"/>
    </xf>
    <xf numFmtId="0" fontId="9" fillId="4" borderId="1" xfId="4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165" fontId="5" fillId="6" borderId="1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 applyProtection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14" fillId="4" borderId="0" xfId="4" applyFont="1" applyFill="1" applyAlignment="1">
      <alignment horizontal="left" vertical="top" wrapText="1"/>
    </xf>
    <xf numFmtId="164" fontId="15" fillId="4" borderId="0" xfId="4" applyNumberFormat="1" applyFont="1" applyFill="1" applyAlignment="1">
      <alignment horizontal="left" vertical="top" wrapText="1"/>
    </xf>
    <xf numFmtId="0" fontId="13" fillId="4" borderId="21" xfId="4" applyFont="1" applyFill="1" applyBorder="1" applyAlignment="1">
      <alignment horizontal="center" vertical="center" wrapText="1"/>
    </xf>
    <xf numFmtId="0" fontId="16" fillId="9" borderId="21" xfId="4" applyFont="1" applyFill="1" applyBorder="1" applyAlignment="1">
      <alignment horizontal="left" vertical="center" wrapText="1"/>
    </xf>
    <xf numFmtId="0" fontId="16" fillId="9" borderId="21" xfId="4" applyFont="1" applyFill="1" applyBorder="1" applyAlignment="1">
      <alignment horizontal="center" vertical="center" wrapText="1"/>
    </xf>
    <xf numFmtId="10" fontId="9" fillId="0" borderId="21" xfId="2" applyNumberFormat="1" applyBorder="1" applyAlignment="1">
      <alignment horizontal="center" vertical="center"/>
    </xf>
    <xf numFmtId="171" fontId="6" fillId="0" borderId="21" xfId="0" applyNumberFormat="1" applyFont="1" applyBorder="1" applyAlignment="1">
      <alignment vertical="center" wrapText="1"/>
    </xf>
    <xf numFmtId="0" fontId="7" fillId="8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 wrapText="1"/>
    </xf>
    <xf numFmtId="10" fontId="9" fillId="0" borderId="21" xfId="0" applyNumberFormat="1" applyFont="1" applyBorder="1" applyAlignment="1">
      <alignment horizontal="center" vertical="center" wrapText="1"/>
    </xf>
    <xf numFmtId="10" fontId="9" fillId="0" borderId="21" xfId="0" applyNumberFormat="1" applyFont="1" applyBorder="1" applyAlignment="1">
      <alignment vertical="center" wrapText="1"/>
    </xf>
    <xf numFmtId="167" fontId="9" fillId="0" borderId="21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171" fontId="5" fillId="8" borderId="21" xfId="0" applyNumberFormat="1" applyFont="1" applyFill="1" applyBorder="1" applyAlignment="1">
      <alignment vertical="center" wrapText="1"/>
    </xf>
    <xf numFmtId="167" fontId="8" fillId="8" borderId="21" xfId="0" applyNumberFormat="1" applyFont="1" applyFill="1" applyBorder="1" applyAlignment="1">
      <alignment vertical="center" wrapText="1"/>
    </xf>
    <xf numFmtId="10" fontId="8" fillId="8" borderId="2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4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justify" vertical="center" wrapText="1"/>
    </xf>
    <xf numFmtId="4" fontId="5" fillId="0" borderId="1" xfId="7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6" fillId="0" borderId="24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6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165" fontId="5" fillId="0" borderId="1" xfId="8" applyFont="1" applyBorder="1" applyAlignment="1" applyProtection="1">
      <alignment vertical="center"/>
    </xf>
    <xf numFmtId="170" fontId="5" fillId="6" borderId="1" xfId="0" applyNumberFormat="1" applyFont="1" applyFill="1" applyBorder="1" applyAlignment="1">
      <alignment horizontal="center" vertical="center"/>
    </xf>
    <xf numFmtId="3" fontId="5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9" applyAlignment="1">
      <alignment vertical="center"/>
    </xf>
    <xf numFmtId="0" fontId="8" fillId="12" borderId="1" xfId="9" applyFont="1" applyFill="1" applyBorder="1" applyAlignment="1">
      <alignment horizontal="center" vertical="center" wrapText="1"/>
    </xf>
    <xf numFmtId="0" fontId="9" fillId="0" borderId="1" xfId="9" applyBorder="1" applyAlignment="1">
      <alignment vertical="center"/>
    </xf>
    <xf numFmtId="172" fontId="9" fillId="13" borderId="1" xfId="9" applyNumberFormat="1" applyFill="1" applyBorder="1" applyAlignment="1">
      <alignment horizontal="center" vertical="center" wrapText="1"/>
    </xf>
    <xf numFmtId="164" fontId="9" fillId="13" borderId="1" xfId="9" applyNumberFormat="1" applyFill="1" applyBorder="1" applyAlignment="1">
      <alignment horizontal="center" vertical="center" wrapText="1"/>
    </xf>
    <xf numFmtId="0" fontId="9" fillId="14" borderId="1" xfId="9" applyFill="1" applyBorder="1" applyAlignment="1">
      <alignment vertical="center"/>
    </xf>
    <xf numFmtId="164" fontId="9" fillId="14" borderId="1" xfId="9" applyNumberFormat="1" applyFill="1" applyBorder="1" applyAlignment="1">
      <alignment horizontal="center" vertical="center" wrapText="1"/>
    </xf>
    <xf numFmtId="0" fontId="8" fillId="0" borderId="1" xfId="9" applyFont="1" applyBorder="1" applyAlignment="1">
      <alignment vertical="center" wrapText="1"/>
    </xf>
    <xf numFmtId="10" fontId="9" fillId="0" borderId="1" xfId="9" applyNumberFormat="1" applyBorder="1" applyAlignment="1">
      <alignment vertical="center"/>
    </xf>
    <xf numFmtId="0" fontId="8" fillId="0" borderId="1" xfId="9" applyFont="1" applyBorder="1" applyAlignment="1">
      <alignment vertical="center"/>
    </xf>
    <xf numFmtId="164" fontId="9" fillId="0" borderId="1" xfId="9" applyNumberFormat="1" applyBorder="1" applyAlignment="1">
      <alignment vertical="center"/>
    </xf>
    <xf numFmtId="2" fontId="9" fillId="0" borderId="0" xfId="9" applyNumberFormat="1" applyAlignment="1">
      <alignment vertical="center"/>
    </xf>
    <xf numFmtId="164" fontId="21" fillId="15" borderId="1" xfId="9" applyNumberFormat="1" applyFont="1" applyFill="1" applyBorder="1" applyAlignment="1">
      <alignment vertical="center"/>
    </xf>
    <xf numFmtId="4" fontId="9" fillId="0" borderId="0" xfId="9" applyNumberFormat="1" applyAlignment="1">
      <alignment vertical="center"/>
    </xf>
    <xf numFmtId="0" fontId="9" fillId="0" borderId="0" xfId="9"/>
    <xf numFmtId="0" fontId="14" fillId="13" borderId="0" xfId="10" applyFont="1" applyFill="1" applyAlignment="1">
      <alignment horizontal="left" vertical="top" wrapText="1"/>
    </xf>
    <xf numFmtId="164" fontId="15" fillId="13" borderId="0" xfId="10" applyNumberFormat="1" applyFont="1" applyFill="1" applyAlignment="1">
      <alignment horizontal="left" vertical="top" wrapText="1"/>
    </xf>
    <xf numFmtId="0" fontId="13" fillId="13" borderId="1" xfId="10" applyFont="1" applyFill="1" applyBorder="1" applyAlignment="1">
      <alignment horizontal="center" vertical="center" wrapText="1"/>
    </xf>
    <xf numFmtId="0" fontId="16" fillId="13" borderId="1" xfId="10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2" fontId="16" fillId="13" borderId="1" xfId="10" applyNumberFormat="1" applyFont="1" applyFill="1" applyBorder="1" applyAlignment="1">
      <alignment horizontal="center" vertical="center" wrapText="1"/>
    </xf>
    <xf numFmtId="171" fontId="16" fillId="13" borderId="1" xfId="1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wrapText="1"/>
    </xf>
    <xf numFmtId="0" fontId="15" fillId="13" borderId="1" xfId="10" applyFont="1" applyFill="1" applyBorder="1" applyAlignment="1">
      <alignment horizontal="center" vertical="center" wrapText="1"/>
    </xf>
    <xf numFmtId="2" fontId="15" fillId="0" borderId="1" xfId="10" applyNumberFormat="1" applyFont="1" applyFill="1" applyBorder="1" applyAlignment="1">
      <alignment horizontal="center" vertical="center" wrapText="1"/>
    </xf>
    <xf numFmtId="2" fontId="15" fillId="13" borderId="1" xfId="10" applyNumberFormat="1" applyFont="1" applyFill="1" applyBorder="1" applyAlignment="1">
      <alignment horizontal="center" vertical="center" wrapText="1"/>
    </xf>
    <xf numFmtId="171" fontId="15" fillId="13" borderId="1" xfId="10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164" fontId="20" fillId="0" borderId="23" xfId="0" applyNumberFormat="1" applyFont="1" applyBorder="1" applyAlignment="1">
      <alignment vertical="center"/>
    </xf>
    <xf numFmtId="0" fontId="8" fillId="19" borderId="1" xfId="9" applyFont="1" applyFill="1" applyBorder="1" applyAlignment="1">
      <alignment horizontal="center" vertical="center" wrapText="1"/>
    </xf>
    <xf numFmtId="0" fontId="9" fillId="20" borderId="1" xfId="9" applyFill="1" applyBorder="1" applyAlignment="1">
      <alignment vertical="center"/>
    </xf>
    <xf numFmtId="164" fontId="9" fillId="20" borderId="1" xfId="9" applyNumberFormat="1" applyFill="1" applyBorder="1" applyAlignment="1">
      <alignment horizontal="center" vertical="center" wrapText="1"/>
    </xf>
    <xf numFmtId="0" fontId="9" fillId="0" borderId="1" xfId="9" applyBorder="1" applyAlignment="1">
      <alignment vertical="center" wrapText="1"/>
    </xf>
    <xf numFmtId="0" fontId="0" fillId="0" borderId="1" xfId="9" applyFont="1" applyBorder="1" applyAlignment="1">
      <alignment vertical="center"/>
    </xf>
    <xf numFmtId="164" fontId="21" fillId="21" borderId="1" xfId="9" applyNumberFormat="1" applyFont="1" applyFill="1" applyBorder="1" applyAlignment="1">
      <alignment vertical="center"/>
    </xf>
    <xf numFmtId="171" fontId="9" fillId="0" borderId="0" xfId="9" applyNumberFormat="1" applyAlignment="1">
      <alignment vertical="center"/>
    </xf>
    <xf numFmtId="171" fontId="9" fillId="0" borderId="0" xfId="9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8" fontId="5" fillId="6" borderId="1" xfId="0" applyNumberFormat="1" applyFont="1" applyFill="1" applyBorder="1" applyAlignment="1">
      <alignment horizontal="center" vertical="center" wrapText="1"/>
    </xf>
    <xf numFmtId="164" fontId="6" fillId="0" borderId="1" xfId="7" applyNumberFormat="1" applyFont="1" applyBorder="1" applyAlignment="1">
      <alignment horizontal="left" vertical="center"/>
    </xf>
    <xf numFmtId="0" fontId="6" fillId="0" borderId="2" xfId="7" applyFont="1" applyBorder="1" applyAlignment="1">
      <alignment horizontal="center" vertical="center"/>
    </xf>
    <xf numFmtId="0" fontId="6" fillId="0" borderId="24" xfId="7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11" borderId="1" xfId="0" applyFont="1" applyFill="1" applyBorder="1" applyAlignment="1">
      <alignment horizontal="center" vertical="center"/>
    </xf>
    <xf numFmtId="3" fontId="6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4" fontId="5" fillId="0" borderId="24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9" fillId="0" borderId="0" xfId="9" applyAlignment="1">
      <alignment horizontal="left" vertical="center" wrapText="1"/>
    </xf>
    <xf numFmtId="0" fontId="14" fillId="13" borderId="1" xfId="10" applyFont="1" applyFill="1" applyBorder="1" applyAlignment="1">
      <alignment horizontal="left" vertical="top" wrapText="1"/>
    </xf>
    <xf numFmtId="0" fontId="15" fillId="13" borderId="1" xfId="10" applyFont="1" applyFill="1" applyBorder="1" applyAlignment="1">
      <alignment horizontal="left" vertical="top" wrapText="1"/>
    </xf>
    <xf numFmtId="0" fontId="14" fillId="13" borderId="1" xfId="10" applyFont="1" applyFill="1" applyBorder="1" applyAlignment="1">
      <alignment horizontal="left" vertical="center" wrapText="1"/>
    </xf>
    <xf numFmtId="164" fontId="26" fillId="13" borderId="1" xfId="10" applyNumberFormat="1" applyFont="1" applyFill="1" applyBorder="1" applyAlignment="1">
      <alignment horizontal="left" vertical="center"/>
    </xf>
    <xf numFmtId="49" fontId="15" fillId="13" borderId="1" xfId="10" applyNumberFormat="1" applyFont="1" applyFill="1" applyBorder="1" applyAlignment="1">
      <alignment horizontal="left" vertical="top" wrapText="1"/>
    </xf>
    <xf numFmtId="0" fontId="13" fillId="17" borderId="1" xfId="10" applyFont="1" applyFill="1" applyBorder="1" applyAlignment="1">
      <alignment horizontal="center" vertical="center" wrapText="1"/>
    </xf>
    <xf numFmtId="0" fontId="13" fillId="17" borderId="2" xfId="10" applyFont="1" applyFill="1" applyBorder="1" applyAlignment="1">
      <alignment horizontal="center" vertical="center" wrapText="1"/>
    </xf>
    <xf numFmtId="49" fontId="15" fillId="0" borderId="1" xfId="10" applyNumberFormat="1" applyFont="1" applyFill="1" applyBorder="1" applyAlignment="1">
      <alignment horizontal="left" vertical="top" wrapText="1"/>
    </xf>
    <xf numFmtId="0" fontId="13" fillId="8" borderId="23" xfId="4" applyFont="1" applyFill="1" applyBorder="1" applyAlignment="1">
      <alignment horizontal="center" vertical="center" wrapText="1"/>
    </xf>
    <xf numFmtId="0" fontId="14" fillId="4" borderId="21" xfId="4" applyFont="1" applyFill="1" applyBorder="1" applyAlignment="1">
      <alignment horizontal="left" vertical="top" wrapText="1"/>
    </xf>
    <xf numFmtId="0" fontId="15" fillId="4" borderId="21" xfId="4" applyFont="1" applyFill="1" applyBorder="1" applyAlignment="1">
      <alignment horizontal="left" vertical="top" wrapText="1"/>
    </xf>
    <xf numFmtId="49" fontId="15" fillId="4" borderId="21" xfId="4" applyNumberFormat="1" applyFont="1" applyFill="1" applyBorder="1" applyAlignment="1">
      <alignment horizontal="left" vertical="top" wrapText="1"/>
    </xf>
    <xf numFmtId="0" fontId="14" fillId="4" borderId="21" xfId="4" applyFont="1" applyFill="1" applyBorder="1" applyAlignment="1">
      <alignment horizontal="left" vertical="center" wrapText="1"/>
    </xf>
    <xf numFmtId="171" fontId="22" fillId="4" borderId="17" xfId="4" applyNumberFormat="1" applyFont="1" applyFill="1" applyBorder="1" applyAlignment="1">
      <alignment horizontal="left" vertical="center" wrapText="1"/>
    </xf>
    <xf numFmtId="171" fontId="22" fillId="4" borderId="18" xfId="4" applyNumberFormat="1" applyFont="1" applyFill="1" applyBorder="1" applyAlignment="1">
      <alignment horizontal="left" vertical="center" wrapText="1"/>
    </xf>
    <xf numFmtId="171" fontId="22" fillId="4" borderId="19" xfId="4" applyNumberFormat="1" applyFont="1" applyFill="1" applyBorder="1" applyAlignment="1">
      <alignment horizontal="left" vertical="center" wrapText="1"/>
    </xf>
    <xf numFmtId="0" fontId="14" fillId="4" borderId="17" xfId="4" applyFont="1" applyFill="1" applyBorder="1" applyAlignment="1">
      <alignment horizontal="left" vertical="center" wrapText="1"/>
    </xf>
    <xf numFmtId="0" fontId="14" fillId="4" borderId="19" xfId="4" applyFont="1" applyFill="1" applyBorder="1" applyAlignment="1">
      <alignment horizontal="left" vertical="center" wrapText="1"/>
    </xf>
    <xf numFmtId="49" fontId="15" fillId="4" borderId="17" xfId="4" applyNumberFormat="1" applyFont="1" applyFill="1" applyBorder="1" applyAlignment="1">
      <alignment horizontal="left" vertical="center" wrapText="1"/>
    </xf>
    <xf numFmtId="0" fontId="15" fillId="4" borderId="18" xfId="4" applyFont="1" applyFill="1" applyBorder="1" applyAlignment="1">
      <alignment horizontal="left" vertical="center" wrapText="1"/>
    </xf>
    <xf numFmtId="0" fontId="15" fillId="4" borderId="19" xfId="4" applyFont="1" applyFill="1" applyBorder="1" applyAlignment="1">
      <alignment horizontal="left" vertical="center" wrapText="1"/>
    </xf>
    <xf numFmtId="0" fontId="15" fillId="4" borderId="17" xfId="4" applyFont="1" applyFill="1" applyBorder="1" applyAlignment="1">
      <alignment horizontal="left" vertical="center" wrapText="1"/>
    </xf>
    <xf numFmtId="0" fontId="13" fillId="8" borderId="21" xfId="4" applyFont="1" applyFill="1" applyBorder="1" applyAlignment="1">
      <alignment horizontal="center" vertical="center" wrapText="1"/>
    </xf>
    <xf numFmtId="0" fontId="13" fillId="8" borderId="17" xfId="4" applyFont="1" applyFill="1" applyBorder="1" applyAlignment="1">
      <alignment horizontal="center" vertical="center" wrapText="1"/>
    </xf>
    <xf numFmtId="0" fontId="13" fillId="8" borderId="18" xfId="4" applyFont="1" applyFill="1" applyBorder="1" applyAlignment="1">
      <alignment horizontal="center" vertical="center" wrapText="1"/>
    </xf>
    <xf numFmtId="0" fontId="13" fillId="8" borderId="19" xfId="4" applyFont="1" applyFill="1" applyBorder="1" applyAlignment="1">
      <alignment horizontal="center" vertical="center" wrapText="1"/>
    </xf>
    <xf numFmtId="164" fontId="22" fillId="4" borderId="21" xfId="4" applyNumberFormat="1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7" fillId="8" borderId="21" xfId="0" applyFont="1" applyFill="1" applyBorder="1" applyAlignment="1">
      <alignment horizontal="center" vertical="center"/>
    </xf>
  </cellXfs>
  <cellStyles count="11">
    <cellStyle name="Moeda" xfId="1" builtinId="4"/>
    <cellStyle name="Moeda 2" xfId="8" xr:uid="{2153FD98-135D-480F-8BF9-61E8E505D7F8}"/>
    <cellStyle name="Normal" xfId="0" builtinId="0"/>
    <cellStyle name="Normal 2" xfId="3" xr:uid="{00000000-0005-0000-0000-000006000000}"/>
    <cellStyle name="Normal 3" xfId="7" xr:uid="{5DFA51CC-9155-490F-9555-2FF5C16EBFF2}"/>
    <cellStyle name="Normal 4" xfId="9" xr:uid="{B4B7AF19-BBE7-4B55-B9A7-33AFB324FCAE}"/>
    <cellStyle name="Porcentagem" xfId="2" builtinId="5"/>
    <cellStyle name="Porcentagem 2" xfId="6" xr:uid="{2471ECED-5228-4FA0-BC27-754CCBE00305}"/>
    <cellStyle name="TableStyleLight1" xfId="4" xr:uid="{00000000-0005-0000-0000-000007000000}"/>
    <cellStyle name="TableStyleLight1 2" xfId="5" xr:uid="{EAC7E34F-9839-4F72-9D52-C69C174952DE}"/>
    <cellStyle name="TableStyleLight1 3" xfId="10" xr:uid="{A6B5A27F-58C2-4AE0-AC85-E6379E38C414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20880</xdr:rowOff>
    </xdr:from>
    <xdr:to>
      <xdr:col>3</xdr:col>
      <xdr:colOff>1138</xdr:colOff>
      <xdr:row>21</xdr:row>
      <xdr:rowOff>822600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36D85BC-41F8-467D-A95C-FB56BAF0415F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0513" cy="801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142541</xdr:colOff>
      <xdr:row>25</xdr:row>
      <xdr:rowOff>61465</xdr:rowOff>
    </xdr:from>
    <xdr:to>
      <xdr:col>2</xdr:col>
      <xdr:colOff>2762622</xdr:colOff>
      <xdr:row>29</xdr:row>
      <xdr:rowOff>33385</xdr:rowOff>
    </xdr:to>
    <xdr:pic>
      <xdr:nvPicPr>
        <xdr:cNvPr id="3" name="Figura 2">
          <a:extLst>
            <a:ext uri="{FF2B5EF4-FFF2-40B4-BE49-F238E27FC236}">
              <a16:creationId xmlns:a16="http://schemas.microsoft.com/office/drawing/2014/main" id="{E49E9929-84A7-4BC5-8B2A-728EEB4F2987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0531" cy="6196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5" sqref="B5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192"/>
      <c r="C2" s="193"/>
      <c r="D2" s="193"/>
      <c r="E2" s="193"/>
      <c r="F2" s="193"/>
      <c r="G2" s="194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5" t="s">
        <v>317</v>
      </c>
      <c r="C4" s="196"/>
      <c r="D4" s="196"/>
      <c r="E4" s="196"/>
      <c r="F4" s="196"/>
      <c r="G4" s="197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198" t="s">
        <v>0</v>
      </c>
      <c r="C6" s="199"/>
      <c r="D6" s="199"/>
      <c r="E6" s="199"/>
      <c r="F6" s="199"/>
      <c r="G6" s="200"/>
    </row>
    <row r="7" spans="2:7" ht="20.100000000000001" customHeight="1">
      <c r="B7" s="205" t="s">
        <v>191</v>
      </c>
      <c r="C7" s="206"/>
      <c r="D7" s="206"/>
      <c r="E7" s="206"/>
      <c r="F7" s="206"/>
      <c r="G7" s="207"/>
    </row>
    <row r="8" spans="2:7" ht="20.100000000000001" customHeight="1">
      <c r="B8" s="201" t="s">
        <v>1</v>
      </c>
      <c r="C8" s="202"/>
      <c r="D8" s="202"/>
      <c r="E8" s="202"/>
      <c r="F8" s="202"/>
      <c r="G8" s="203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20" t="s">
        <v>2</v>
      </c>
      <c r="C10" s="120" t="s">
        <v>3</v>
      </c>
      <c r="D10" s="120" t="s">
        <v>4</v>
      </c>
      <c r="E10" s="120" t="s">
        <v>5</v>
      </c>
      <c r="F10" s="120" t="s">
        <v>6</v>
      </c>
      <c r="G10" s="120" t="s">
        <v>7</v>
      </c>
    </row>
    <row r="11" spans="2:7" ht="81.599999999999994" customHeight="1">
      <c r="B11" s="121">
        <v>9</v>
      </c>
      <c r="C11" s="122" t="s">
        <v>192</v>
      </c>
      <c r="D11" s="123" t="s">
        <v>8</v>
      </c>
      <c r="E11" s="123">
        <v>12</v>
      </c>
      <c r="F11" s="124">
        <f>ROUND(Resumo!D6+Resumo!F6,2)</f>
        <v>109263.89</v>
      </c>
      <c r="G11" s="125">
        <f>F11*12</f>
        <v>1311166.68</v>
      </c>
    </row>
    <row r="12" spans="2:7" ht="42.4" customHeight="1">
      <c r="B12" s="204" t="s">
        <v>316</v>
      </c>
      <c r="C12" s="204"/>
      <c r="D12" s="204"/>
      <c r="E12" s="204"/>
      <c r="F12" s="204"/>
      <c r="G12" s="204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10" zoomScaleNormal="110" workbookViewId="0">
      <selection activeCell="K14" sqref="K14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80" t="s">
        <v>109</v>
      </c>
      <c r="C2" s="280"/>
      <c r="D2" s="280"/>
      <c r="E2" s="280"/>
      <c r="F2" s="280"/>
      <c r="G2" s="280"/>
      <c r="H2" s="280"/>
      <c r="I2" s="280"/>
    </row>
    <row r="3" spans="2:9" ht="21" customHeight="1"/>
    <row r="4" spans="2:9" ht="17.100000000000001" customHeight="1">
      <c r="B4" s="266" t="s">
        <v>132</v>
      </c>
      <c r="C4" s="266"/>
      <c r="D4" s="266"/>
      <c r="E4" s="266"/>
      <c r="F4" s="266"/>
      <c r="G4" s="266"/>
      <c r="H4" s="266"/>
      <c r="I4" s="266"/>
    </row>
    <row r="5" spans="2:9" ht="17.100000000000001" customHeight="1">
      <c r="B5" s="267" t="s">
        <v>110</v>
      </c>
      <c r="C5" s="267"/>
      <c r="D5" s="268" t="s">
        <v>111</v>
      </c>
      <c r="E5" s="268"/>
      <c r="F5" s="268"/>
      <c r="G5" s="268"/>
      <c r="H5" s="268"/>
      <c r="I5" s="268"/>
    </row>
    <row r="6" spans="2:9" ht="17.100000000000001" customHeight="1">
      <c r="B6" s="267" t="s">
        <v>98</v>
      </c>
      <c r="C6" s="267"/>
      <c r="D6" s="268" t="s">
        <v>112</v>
      </c>
      <c r="E6" s="268"/>
      <c r="F6" s="268"/>
      <c r="G6" s="268"/>
      <c r="H6" s="268"/>
      <c r="I6" s="268"/>
    </row>
    <row r="7" spans="2:9" ht="17.100000000000001" customHeight="1">
      <c r="B7" s="267" t="s">
        <v>113</v>
      </c>
      <c r="C7" s="267"/>
      <c r="D7" s="269" t="s">
        <v>263</v>
      </c>
      <c r="E7" s="269"/>
      <c r="F7" s="269"/>
      <c r="G7" s="269"/>
      <c r="H7" s="269"/>
      <c r="I7" s="269"/>
    </row>
    <row r="8" spans="2:9" ht="17.100000000000001" customHeight="1">
      <c r="B8" s="267" t="s">
        <v>114</v>
      </c>
      <c r="C8" s="267"/>
      <c r="D8" s="268" t="s">
        <v>176</v>
      </c>
      <c r="E8" s="268"/>
      <c r="F8" s="268"/>
      <c r="G8" s="268"/>
      <c r="H8" s="268"/>
      <c r="I8" s="268"/>
    </row>
    <row r="9" spans="2:9" ht="17.100000000000001" customHeight="1">
      <c r="B9" s="267" t="s">
        <v>115</v>
      </c>
      <c r="C9" s="267"/>
      <c r="D9" s="268" t="s">
        <v>116</v>
      </c>
      <c r="E9" s="268"/>
      <c r="F9" s="268"/>
      <c r="G9" s="268"/>
      <c r="H9" s="268"/>
      <c r="I9" s="268"/>
    </row>
    <row r="10" spans="2:9" ht="17.100000000000001" customHeight="1">
      <c r="B10" s="267" t="s">
        <v>99</v>
      </c>
      <c r="C10" s="267"/>
      <c r="D10" s="268" t="s">
        <v>103</v>
      </c>
      <c r="E10" s="268"/>
      <c r="F10" s="268"/>
      <c r="G10" s="268"/>
      <c r="H10" s="268"/>
      <c r="I10" s="268"/>
    </row>
    <row r="11" spans="2:9" ht="23.85" customHeight="1">
      <c r="B11" s="270" t="s">
        <v>117</v>
      </c>
      <c r="C11" s="270"/>
      <c r="D11" s="284">
        <f>SUM(I14:I18)</f>
        <v>50.55</v>
      </c>
      <c r="E11" s="284"/>
      <c r="F11" s="284"/>
      <c r="G11" s="284"/>
      <c r="H11" s="284"/>
      <c r="I11" s="284"/>
    </row>
    <row r="12" spans="2:9" ht="15.75" customHeight="1">
      <c r="B12" s="103"/>
      <c r="C12" s="103"/>
      <c r="D12" s="104"/>
      <c r="E12" s="104"/>
      <c r="F12" s="104"/>
      <c r="G12" s="104"/>
      <c r="H12" s="104"/>
      <c r="I12" s="104"/>
    </row>
    <row r="13" spans="2:9" ht="29.65" customHeight="1">
      <c r="B13" s="105"/>
      <c r="C13" s="105" t="s">
        <v>133</v>
      </c>
      <c r="D13" s="105" t="s">
        <v>98</v>
      </c>
      <c r="E13" s="105" t="s">
        <v>115</v>
      </c>
      <c r="F13" s="105" t="s">
        <v>99</v>
      </c>
      <c r="G13" s="105" t="s">
        <v>117</v>
      </c>
      <c r="H13" s="105" t="s">
        <v>118</v>
      </c>
      <c r="I13" s="105" t="s">
        <v>117</v>
      </c>
    </row>
    <row r="14" spans="2:9" ht="28.35" customHeight="1">
      <c r="B14" s="107" t="s">
        <v>119</v>
      </c>
      <c r="C14" s="107" t="s">
        <v>122</v>
      </c>
      <c r="D14" s="106" t="s">
        <v>123</v>
      </c>
      <c r="E14" s="106" t="s">
        <v>116</v>
      </c>
      <c r="F14" s="107" t="s">
        <v>120</v>
      </c>
      <c r="G14" s="107">
        <v>4.8600000000000003</v>
      </c>
      <c r="H14" s="107" t="s">
        <v>121</v>
      </c>
      <c r="I14" s="107">
        <f>G14*H14</f>
        <v>4.8600000000000003</v>
      </c>
    </row>
    <row r="15" spans="2:9" ht="28.35" customHeight="1">
      <c r="B15" s="107" t="s">
        <v>119</v>
      </c>
      <c r="C15" s="107" t="s">
        <v>124</v>
      </c>
      <c r="D15" s="106" t="s">
        <v>125</v>
      </c>
      <c r="E15" s="106" t="s">
        <v>116</v>
      </c>
      <c r="F15" s="107" t="s">
        <v>120</v>
      </c>
      <c r="G15" s="107">
        <v>1.49</v>
      </c>
      <c r="H15" s="107" t="s">
        <v>121</v>
      </c>
      <c r="I15" s="107">
        <f>G15*H15</f>
        <v>1.49</v>
      </c>
    </row>
    <row r="16" spans="2:9" ht="42.6" customHeight="1">
      <c r="B16" s="107" t="s">
        <v>119</v>
      </c>
      <c r="C16" s="107" t="s">
        <v>126</v>
      </c>
      <c r="D16" s="106" t="s">
        <v>127</v>
      </c>
      <c r="E16" s="106" t="s">
        <v>116</v>
      </c>
      <c r="F16" s="107" t="s">
        <v>120</v>
      </c>
      <c r="G16" s="107">
        <v>0.6</v>
      </c>
      <c r="H16" s="107" t="s">
        <v>121</v>
      </c>
      <c r="I16" s="107">
        <f>G16*H16</f>
        <v>0.6</v>
      </c>
    </row>
    <row r="17" spans="2:9" ht="28.35" customHeight="1">
      <c r="B17" s="107" t="s">
        <v>119</v>
      </c>
      <c r="C17" s="107" t="s">
        <v>128</v>
      </c>
      <c r="D17" s="106" t="s">
        <v>129</v>
      </c>
      <c r="E17" s="106" t="s">
        <v>116</v>
      </c>
      <c r="F17" s="107" t="s">
        <v>120</v>
      </c>
      <c r="G17" s="107">
        <v>6.07</v>
      </c>
      <c r="H17" s="107" t="s">
        <v>121</v>
      </c>
      <c r="I17" s="107">
        <f>G17*H17</f>
        <v>6.07</v>
      </c>
    </row>
    <row r="18" spans="2:9" ht="42.6" customHeight="1">
      <c r="B18" s="107" t="s">
        <v>119</v>
      </c>
      <c r="C18" s="107" t="s">
        <v>130</v>
      </c>
      <c r="D18" s="106" t="s">
        <v>131</v>
      </c>
      <c r="E18" s="106" t="s">
        <v>116</v>
      </c>
      <c r="F18" s="107" t="s">
        <v>120</v>
      </c>
      <c r="G18" s="107">
        <v>37.53</v>
      </c>
      <c r="H18" s="107" t="s">
        <v>121</v>
      </c>
      <c r="I18" s="107">
        <f>G18*H18</f>
        <v>37.53</v>
      </c>
    </row>
    <row r="19" spans="2:9" ht="28.35" customHeight="1"/>
    <row r="20" spans="2:9" ht="17.100000000000001" customHeight="1">
      <c r="B20" s="281" t="s">
        <v>136</v>
      </c>
      <c r="C20" s="282"/>
      <c r="D20" s="282"/>
      <c r="E20" s="282"/>
      <c r="F20" s="282"/>
      <c r="G20" s="282"/>
      <c r="H20" s="282"/>
      <c r="I20" s="283"/>
    </row>
    <row r="21" spans="2:9" ht="17.100000000000001" customHeight="1">
      <c r="B21" s="274" t="s">
        <v>110</v>
      </c>
      <c r="C21" s="275"/>
      <c r="D21" s="279" t="s">
        <v>134</v>
      </c>
      <c r="E21" s="277"/>
      <c r="F21" s="277"/>
      <c r="G21" s="277"/>
      <c r="H21" s="277"/>
      <c r="I21" s="278"/>
    </row>
    <row r="22" spans="2:9" ht="17.100000000000001" customHeight="1">
      <c r="B22" s="274" t="s">
        <v>98</v>
      </c>
      <c r="C22" s="275"/>
      <c r="D22" s="279" t="s">
        <v>135</v>
      </c>
      <c r="E22" s="277"/>
      <c r="F22" s="277"/>
      <c r="G22" s="277"/>
      <c r="H22" s="277"/>
      <c r="I22" s="278"/>
    </row>
    <row r="23" spans="2:9" ht="17.100000000000001" customHeight="1">
      <c r="B23" s="274" t="s">
        <v>113</v>
      </c>
      <c r="C23" s="275"/>
      <c r="D23" s="276" t="str">
        <f>D7</f>
        <v>10/2023</v>
      </c>
      <c r="E23" s="277"/>
      <c r="F23" s="277"/>
      <c r="G23" s="277"/>
      <c r="H23" s="277"/>
      <c r="I23" s="278"/>
    </row>
    <row r="24" spans="2:9" ht="17.100000000000001" customHeight="1">
      <c r="B24" s="274" t="s">
        <v>114</v>
      </c>
      <c r="C24" s="275"/>
      <c r="D24" s="279" t="str">
        <f>D8</f>
        <v>Rio Grande do Sul</v>
      </c>
      <c r="E24" s="277"/>
      <c r="F24" s="277"/>
      <c r="G24" s="277"/>
      <c r="H24" s="277"/>
      <c r="I24" s="278"/>
    </row>
    <row r="25" spans="2:9" ht="17.100000000000001" customHeight="1">
      <c r="B25" s="274" t="s">
        <v>115</v>
      </c>
      <c r="C25" s="275"/>
      <c r="D25" s="279" t="s">
        <v>116</v>
      </c>
      <c r="E25" s="277"/>
      <c r="F25" s="277"/>
      <c r="G25" s="277"/>
      <c r="H25" s="277"/>
      <c r="I25" s="278"/>
    </row>
    <row r="26" spans="2:9" ht="17.100000000000001" customHeight="1">
      <c r="B26" s="274" t="s">
        <v>99</v>
      </c>
      <c r="C26" s="275"/>
      <c r="D26" s="279" t="s">
        <v>105</v>
      </c>
      <c r="E26" s="277"/>
      <c r="F26" s="277"/>
      <c r="G26" s="277"/>
      <c r="H26" s="277"/>
      <c r="I26" s="278"/>
    </row>
    <row r="27" spans="2:9" ht="23.85" customHeight="1">
      <c r="B27" s="270" t="s">
        <v>117</v>
      </c>
      <c r="C27" s="270"/>
      <c r="D27" s="271">
        <f>SUM(I30:I32)</f>
        <v>6.95</v>
      </c>
      <c r="E27" s="272"/>
      <c r="F27" s="272"/>
      <c r="G27" s="272"/>
      <c r="H27" s="272"/>
      <c r="I27" s="273"/>
    </row>
    <row r="28" spans="2:9" ht="15.75" customHeight="1">
      <c r="B28" s="103"/>
      <c r="C28" s="103"/>
      <c r="D28" s="104"/>
      <c r="E28" s="104"/>
      <c r="F28" s="104"/>
      <c r="G28" s="104"/>
      <c r="H28" s="104"/>
      <c r="I28" s="104"/>
    </row>
    <row r="29" spans="2:9" ht="29.65" customHeight="1">
      <c r="B29" s="105"/>
      <c r="C29" s="105" t="s">
        <v>133</v>
      </c>
      <c r="D29" s="105" t="s">
        <v>98</v>
      </c>
      <c r="E29" s="105" t="s">
        <v>115</v>
      </c>
      <c r="F29" s="105" t="s">
        <v>99</v>
      </c>
      <c r="G29" s="105" t="s">
        <v>117</v>
      </c>
      <c r="H29" s="105" t="s">
        <v>118</v>
      </c>
      <c r="I29" s="105" t="s">
        <v>117</v>
      </c>
    </row>
    <row r="30" spans="2:9" ht="28.35" customHeight="1">
      <c r="B30" s="107" t="s">
        <v>119</v>
      </c>
      <c r="C30" s="107" t="s">
        <v>122</v>
      </c>
      <c r="D30" s="106" t="s">
        <v>123</v>
      </c>
      <c r="E30" s="106" t="s">
        <v>116</v>
      </c>
      <c r="F30" s="107" t="s">
        <v>120</v>
      </c>
      <c r="G30" s="107">
        <f>G14</f>
        <v>4.8600000000000003</v>
      </c>
      <c r="H30" s="107" t="s">
        <v>121</v>
      </c>
      <c r="I30" s="107">
        <f>G30*H30</f>
        <v>4.8600000000000003</v>
      </c>
    </row>
    <row r="31" spans="2:9" ht="28.35" customHeight="1">
      <c r="B31" s="107" t="s">
        <v>119</v>
      </c>
      <c r="C31" s="107" t="s">
        <v>124</v>
      </c>
      <c r="D31" s="106" t="s">
        <v>125</v>
      </c>
      <c r="E31" s="106" t="s">
        <v>116</v>
      </c>
      <c r="F31" s="107" t="s">
        <v>120</v>
      </c>
      <c r="G31" s="107">
        <f>G15</f>
        <v>1.49</v>
      </c>
      <c r="H31" s="107" t="s">
        <v>121</v>
      </c>
      <c r="I31" s="107">
        <f>G31*H31</f>
        <v>1.49</v>
      </c>
    </row>
    <row r="32" spans="2:9" ht="42.6" customHeight="1">
      <c r="B32" s="107" t="s">
        <v>119</v>
      </c>
      <c r="C32" s="107" t="s">
        <v>126</v>
      </c>
      <c r="D32" s="106" t="s">
        <v>127</v>
      </c>
      <c r="E32" s="106" t="s">
        <v>116</v>
      </c>
      <c r="F32" s="107" t="s">
        <v>120</v>
      </c>
      <c r="G32" s="107">
        <f>G16</f>
        <v>0.6</v>
      </c>
      <c r="H32" s="107" t="s">
        <v>121</v>
      </c>
      <c r="I32" s="107">
        <f>G32*H32</f>
        <v>0.6</v>
      </c>
    </row>
  </sheetData>
  <mergeCells count="31"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4:I4"/>
    <mergeCell ref="B5:C5"/>
    <mergeCell ref="D5:I5"/>
    <mergeCell ref="B6:C6"/>
    <mergeCell ref="D6:I6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3"/>
  <sheetViews>
    <sheetView showGridLines="0" zoomScaleNormal="100" workbookViewId="0">
      <selection activeCell="F24" sqref="F24"/>
    </sheetView>
  </sheetViews>
  <sheetFormatPr defaultRowHeight="14.25"/>
  <cols>
    <col min="1" max="1" width="5.625" customWidth="1"/>
    <col min="2" max="2" width="15.12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45" customFormat="1" ht="29.25" customHeight="1">
      <c r="B2" s="285" t="str">
        <f>"RELAÇÃO DE UNIDADES DO "&amp;'Valor da Contratação'!B7&amp;""</f>
        <v>RELAÇÃO DE UNIDADES DO POLO IX</v>
      </c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2:14" s="7" customFormat="1" ht="15" customHeight="1"/>
    <row r="4" spans="2:14" ht="66.75" customHeight="1">
      <c r="B4" s="71" t="s">
        <v>137</v>
      </c>
      <c r="C4" s="71" t="s">
        <v>9</v>
      </c>
      <c r="D4" s="71" t="s">
        <v>34</v>
      </c>
      <c r="E4" s="71" t="s">
        <v>138</v>
      </c>
      <c r="F4" s="71" t="s">
        <v>139</v>
      </c>
      <c r="G4" s="71" t="s">
        <v>140</v>
      </c>
      <c r="H4" s="71" t="s">
        <v>64</v>
      </c>
      <c r="I4" s="71" t="s">
        <v>141</v>
      </c>
      <c r="J4" s="71" t="s">
        <v>142</v>
      </c>
      <c r="K4" s="71" t="s">
        <v>143</v>
      </c>
      <c r="L4" s="71" t="s">
        <v>144</v>
      </c>
      <c r="M4" s="71" t="s">
        <v>145</v>
      </c>
      <c r="N4" s="71" t="s">
        <v>146</v>
      </c>
    </row>
    <row r="5" spans="2:14" ht="18" customHeight="1">
      <c r="B5" s="11" t="s">
        <v>194</v>
      </c>
      <c r="C5" s="11" t="s">
        <v>193</v>
      </c>
      <c r="D5" s="55" t="s">
        <v>195</v>
      </c>
      <c r="E5" s="56" t="s">
        <v>196</v>
      </c>
      <c r="F5" s="50">
        <v>3.83</v>
      </c>
      <c r="G5" s="57">
        <v>0.03</v>
      </c>
      <c r="H5" s="57">
        <f>HLOOKUP(G5,BDI!$C$19:$I$30,12,)</f>
        <v>0.2354</v>
      </c>
      <c r="I5" s="52">
        <v>368.32</v>
      </c>
      <c r="J5" s="52">
        <v>280.32</v>
      </c>
      <c r="K5" s="52">
        <v>88</v>
      </c>
      <c r="L5" s="52">
        <v>0</v>
      </c>
      <c r="M5" s="52" t="s">
        <v>147</v>
      </c>
      <c r="N5" s="52" t="s">
        <v>147</v>
      </c>
    </row>
    <row r="6" spans="2:14" ht="18" customHeight="1">
      <c r="B6" s="11" t="s">
        <v>194</v>
      </c>
      <c r="C6" s="11" t="s">
        <v>193</v>
      </c>
      <c r="D6" s="55" t="s">
        <v>197</v>
      </c>
      <c r="E6" s="58" t="s">
        <v>198</v>
      </c>
      <c r="F6" s="50">
        <v>4.7</v>
      </c>
      <c r="G6" s="57">
        <v>0.02</v>
      </c>
      <c r="H6" s="57">
        <f>HLOOKUP(G6,BDI!$C$19:$I$30,12,)</f>
        <v>0.2223</v>
      </c>
      <c r="I6" s="52">
        <v>2205.75</v>
      </c>
      <c r="J6" s="52">
        <v>735.25</v>
      </c>
      <c r="K6" s="52">
        <v>735.25</v>
      </c>
      <c r="L6" s="52">
        <v>735.25</v>
      </c>
      <c r="M6" s="52" t="s">
        <v>147</v>
      </c>
      <c r="N6" s="52" t="s">
        <v>147</v>
      </c>
    </row>
    <row r="7" spans="2:14" ht="18" customHeight="1">
      <c r="B7" s="11" t="s">
        <v>194</v>
      </c>
      <c r="C7" s="11" t="s">
        <v>193</v>
      </c>
      <c r="D7" s="55" t="s">
        <v>199</v>
      </c>
      <c r="E7" s="58" t="s">
        <v>200</v>
      </c>
      <c r="F7" s="50">
        <v>4.33</v>
      </c>
      <c r="G7" s="57">
        <v>0.03</v>
      </c>
      <c r="H7" s="57">
        <f>HLOOKUP(G7,BDI!$C$19:$I$30,12,)</f>
        <v>0.2354</v>
      </c>
      <c r="I7" s="52">
        <v>824.48</v>
      </c>
      <c r="J7" s="52">
        <v>416.95</v>
      </c>
      <c r="K7" s="52">
        <v>407.53</v>
      </c>
      <c r="L7" s="52">
        <v>0</v>
      </c>
      <c r="M7" s="52" t="s">
        <v>147</v>
      </c>
      <c r="N7" s="52" t="s">
        <v>148</v>
      </c>
    </row>
    <row r="8" spans="2:14" ht="18" customHeight="1">
      <c r="B8" s="11" t="s">
        <v>193</v>
      </c>
      <c r="C8" s="11" t="s">
        <v>193</v>
      </c>
      <c r="D8" s="55" t="s">
        <v>201</v>
      </c>
      <c r="E8" s="56" t="s">
        <v>202</v>
      </c>
      <c r="F8" s="50">
        <v>1.62</v>
      </c>
      <c r="G8" s="57">
        <v>0.03</v>
      </c>
      <c r="H8" s="57">
        <f>HLOOKUP(G8,BDI!$C$19:$I$30,12,)</f>
        <v>0.2354</v>
      </c>
      <c r="I8" s="52">
        <v>2634.28</v>
      </c>
      <c r="J8" s="52">
        <v>991.45</v>
      </c>
      <c r="K8" s="52">
        <v>971.83</v>
      </c>
      <c r="L8" s="52">
        <v>671</v>
      </c>
      <c r="M8" s="52" t="s">
        <v>148</v>
      </c>
      <c r="N8" s="52" t="s">
        <v>148</v>
      </c>
    </row>
    <row r="9" spans="2:14" ht="18" customHeight="1">
      <c r="B9" s="11" t="s">
        <v>193</v>
      </c>
      <c r="C9" s="11" t="s">
        <v>193</v>
      </c>
      <c r="D9" s="55" t="s">
        <v>203</v>
      </c>
      <c r="E9" s="56" t="s">
        <v>204</v>
      </c>
      <c r="F9" s="50">
        <v>2.23</v>
      </c>
      <c r="G9" s="57">
        <v>0.02</v>
      </c>
      <c r="H9" s="57">
        <f>HLOOKUP(G9,BDI!$C$19:$I$30,12,)</f>
        <v>0.2223</v>
      </c>
      <c r="I9" s="52">
        <v>548.83000000000004</v>
      </c>
      <c r="J9" s="52">
        <v>421.87</v>
      </c>
      <c r="K9" s="52">
        <v>126.96</v>
      </c>
      <c r="L9" s="52">
        <v>0</v>
      </c>
      <c r="M9" s="52" t="s">
        <v>147</v>
      </c>
      <c r="N9" s="52" t="s">
        <v>148</v>
      </c>
    </row>
    <row r="10" spans="2:14" ht="18" customHeight="1">
      <c r="B10" s="11" t="s">
        <v>193</v>
      </c>
      <c r="C10" s="11" t="s">
        <v>193</v>
      </c>
      <c r="D10" s="55" t="s">
        <v>205</v>
      </c>
      <c r="E10" s="56" t="s">
        <v>206</v>
      </c>
      <c r="F10" s="50">
        <v>2.5299999999999998</v>
      </c>
      <c r="G10" s="57">
        <v>0.05</v>
      </c>
      <c r="H10" s="57">
        <f>HLOOKUP(G10,BDI!$C$19:$I$30,12,)</f>
        <v>0.26240000000000002</v>
      </c>
      <c r="I10" s="52">
        <v>2708.27</v>
      </c>
      <c r="J10" s="52">
        <v>1355.18</v>
      </c>
      <c r="K10" s="52">
        <v>1078.3</v>
      </c>
      <c r="L10" s="52">
        <v>274.79000000000002</v>
      </c>
      <c r="M10" s="52" t="s">
        <v>147</v>
      </c>
      <c r="N10" s="52" t="s">
        <v>148</v>
      </c>
    </row>
    <row r="11" spans="2:14" ht="18" customHeight="1">
      <c r="B11" s="11" t="s">
        <v>193</v>
      </c>
      <c r="C11" s="11" t="s">
        <v>193</v>
      </c>
      <c r="D11" s="55" t="s">
        <v>207</v>
      </c>
      <c r="E11" s="56" t="s">
        <v>208</v>
      </c>
      <c r="F11" s="50">
        <v>2.37</v>
      </c>
      <c r="G11" s="57">
        <v>0.04</v>
      </c>
      <c r="H11" s="57">
        <f>HLOOKUP(G11,BDI!$C$19:$I$30,12,)</f>
        <v>0.2487</v>
      </c>
      <c r="I11" s="52">
        <v>798.65</v>
      </c>
      <c r="J11" s="52">
        <v>287.86</v>
      </c>
      <c r="K11" s="52">
        <v>55.73</v>
      </c>
      <c r="L11" s="52">
        <v>455.06</v>
      </c>
      <c r="M11" s="52" t="s">
        <v>147</v>
      </c>
      <c r="N11" s="52" t="s">
        <v>147</v>
      </c>
    </row>
    <row r="12" spans="2:14" ht="18" customHeight="1">
      <c r="B12" s="11" t="s">
        <v>193</v>
      </c>
      <c r="C12" s="11" t="s">
        <v>193</v>
      </c>
      <c r="D12" s="55" t="s">
        <v>209</v>
      </c>
      <c r="E12" s="56" t="s">
        <v>210</v>
      </c>
      <c r="F12" s="50">
        <v>1.6</v>
      </c>
      <c r="G12" s="57">
        <v>0.03</v>
      </c>
      <c r="H12" s="57">
        <f>HLOOKUP(G12,BDI!$C$19:$I$30,12,)</f>
        <v>0.2354</v>
      </c>
      <c r="I12" s="52">
        <v>334.4</v>
      </c>
      <c r="J12" s="52">
        <v>296</v>
      </c>
      <c r="K12" s="52">
        <v>38.4</v>
      </c>
      <c r="L12" s="52">
        <v>0</v>
      </c>
      <c r="M12" s="52" t="s">
        <v>147</v>
      </c>
      <c r="N12" s="52" t="s">
        <v>147</v>
      </c>
    </row>
    <row r="13" spans="2:14" ht="18" customHeight="1">
      <c r="B13" s="11" t="s">
        <v>193</v>
      </c>
      <c r="C13" s="11" t="s">
        <v>193</v>
      </c>
      <c r="D13" s="55" t="s">
        <v>211</v>
      </c>
      <c r="E13" s="56" t="s">
        <v>212</v>
      </c>
      <c r="F13" s="50">
        <v>3.53</v>
      </c>
      <c r="G13" s="57">
        <v>0.02</v>
      </c>
      <c r="H13" s="57">
        <f>HLOOKUP(G13,BDI!$C$19:$I$30,12,)</f>
        <v>0.2223</v>
      </c>
      <c r="I13" s="52">
        <v>1100.01</v>
      </c>
      <c r="J13" s="52">
        <v>369.82</v>
      </c>
      <c r="K13" s="52">
        <v>462.06</v>
      </c>
      <c r="L13" s="52">
        <v>268.13</v>
      </c>
      <c r="M13" s="52" t="s">
        <v>148</v>
      </c>
      <c r="N13" s="52" t="s">
        <v>147</v>
      </c>
    </row>
    <row r="14" spans="2:14" ht="18" customHeight="1">
      <c r="B14" s="11" t="s">
        <v>193</v>
      </c>
      <c r="C14" s="11" t="s">
        <v>193</v>
      </c>
      <c r="D14" s="55" t="s">
        <v>213</v>
      </c>
      <c r="E14" s="56" t="s">
        <v>214</v>
      </c>
      <c r="F14" s="50">
        <v>2.83</v>
      </c>
      <c r="G14" s="57">
        <v>0.03</v>
      </c>
      <c r="H14" s="57">
        <f>HLOOKUP(G14,BDI!$C$19:$I$30,12,)</f>
        <v>0.2354</v>
      </c>
      <c r="I14" s="52">
        <v>1798.01</v>
      </c>
      <c r="J14" s="52">
        <v>530.66</v>
      </c>
      <c r="K14" s="52">
        <v>728.84</v>
      </c>
      <c r="L14" s="52">
        <v>538.51</v>
      </c>
      <c r="M14" s="52" t="s">
        <v>147</v>
      </c>
      <c r="N14" s="52" t="s">
        <v>147</v>
      </c>
    </row>
    <row r="15" spans="2:14" ht="18" customHeight="1">
      <c r="B15" s="11" t="s">
        <v>193</v>
      </c>
      <c r="C15" s="11" t="s">
        <v>193</v>
      </c>
      <c r="D15" s="55" t="s">
        <v>215</v>
      </c>
      <c r="E15" s="56" t="s">
        <v>216</v>
      </c>
      <c r="F15" s="50" t="s">
        <v>233</v>
      </c>
      <c r="G15" s="57">
        <v>0.03</v>
      </c>
      <c r="H15" s="57">
        <f>HLOOKUP(G15,BDI!$C$19:$I$30,12,)</f>
        <v>0.2354</v>
      </c>
      <c r="I15" s="52">
        <v>321.99</v>
      </c>
      <c r="J15" s="52">
        <v>317.68</v>
      </c>
      <c r="K15" s="52">
        <v>4.3099999999999996</v>
      </c>
      <c r="L15" s="52">
        <v>0</v>
      </c>
      <c r="M15" s="52" t="s">
        <v>147</v>
      </c>
      <c r="N15" s="52" t="s">
        <v>148</v>
      </c>
    </row>
    <row r="16" spans="2:14" ht="18" customHeight="1">
      <c r="B16" s="11" t="s">
        <v>193</v>
      </c>
      <c r="C16" s="11" t="s">
        <v>193</v>
      </c>
      <c r="D16" s="55" t="s">
        <v>217</v>
      </c>
      <c r="E16" s="56" t="s">
        <v>218</v>
      </c>
      <c r="F16" s="50">
        <v>2.5</v>
      </c>
      <c r="G16" s="57">
        <v>0.05</v>
      </c>
      <c r="H16" s="57">
        <f>HLOOKUP(G16,BDI!$C$19:$I$30,12,)</f>
        <v>0.26240000000000002</v>
      </c>
      <c r="I16" s="52">
        <v>334.4</v>
      </c>
      <c r="J16" s="52">
        <v>296</v>
      </c>
      <c r="K16" s="52">
        <v>38.4</v>
      </c>
      <c r="L16" s="52">
        <v>0</v>
      </c>
      <c r="M16" s="52" t="s">
        <v>147</v>
      </c>
      <c r="N16" s="52" t="s">
        <v>147</v>
      </c>
    </row>
    <row r="17" spans="2:14" ht="18" customHeight="1">
      <c r="B17" s="11" t="s">
        <v>193</v>
      </c>
      <c r="C17" s="11" t="s">
        <v>193</v>
      </c>
      <c r="D17" s="55" t="s">
        <v>219</v>
      </c>
      <c r="E17" s="56" t="s">
        <v>220</v>
      </c>
      <c r="F17" s="50">
        <v>2.73</v>
      </c>
      <c r="G17" s="57">
        <v>2.5000000000000001E-2</v>
      </c>
      <c r="H17" s="57">
        <f>HLOOKUP(G17,BDI!$C$19:$I$30,12,)</f>
        <v>0.2288</v>
      </c>
      <c r="I17" s="52">
        <v>548.83000000000004</v>
      </c>
      <c r="J17" s="52">
        <v>421.87</v>
      </c>
      <c r="K17" s="52">
        <v>126.96</v>
      </c>
      <c r="L17" s="52">
        <v>0</v>
      </c>
      <c r="M17" s="52" t="s">
        <v>147</v>
      </c>
      <c r="N17" s="52" t="s">
        <v>148</v>
      </c>
    </row>
    <row r="18" spans="2:14" ht="18" customHeight="1">
      <c r="B18" s="11" t="s">
        <v>193</v>
      </c>
      <c r="C18" s="11" t="s">
        <v>193</v>
      </c>
      <c r="D18" s="55" t="s">
        <v>221</v>
      </c>
      <c r="E18" s="56" t="s">
        <v>222</v>
      </c>
      <c r="F18" s="50">
        <v>2.27</v>
      </c>
      <c r="G18" s="57">
        <v>0.02</v>
      </c>
      <c r="H18" s="57">
        <f>HLOOKUP(G18,BDI!$C$19:$I$30,12,)</f>
        <v>0.2223</v>
      </c>
      <c r="I18" s="52">
        <v>2280.63</v>
      </c>
      <c r="J18" s="52">
        <v>742.67</v>
      </c>
      <c r="K18" s="52">
        <v>1114.42</v>
      </c>
      <c r="L18" s="52">
        <v>423.54</v>
      </c>
      <c r="M18" s="52" t="s">
        <v>148</v>
      </c>
      <c r="N18" s="52" t="s">
        <v>148</v>
      </c>
    </row>
    <row r="19" spans="2:14" ht="18" customHeight="1">
      <c r="B19" s="11" t="s">
        <v>193</v>
      </c>
      <c r="C19" s="11" t="s">
        <v>193</v>
      </c>
      <c r="D19" s="55" t="s">
        <v>223</v>
      </c>
      <c r="E19" s="56" t="s">
        <v>224</v>
      </c>
      <c r="F19" s="50">
        <v>0</v>
      </c>
      <c r="G19" s="57">
        <v>0.02</v>
      </c>
      <c r="H19" s="57">
        <f>HLOOKUP(G19,BDI!$C$19:$I$30,12,)</f>
        <v>0.2223</v>
      </c>
      <c r="I19" s="52">
        <v>3609.84</v>
      </c>
      <c r="J19" s="52">
        <v>2780.7</v>
      </c>
      <c r="K19" s="52">
        <v>629.53</v>
      </c>
      <c r="L19" s="52">
        <v>199.61</v>
      </c>
      <c r="M19" s="52" t="s">
        <v>147</v>
      </c>
      <c r="N19" s="52" t="s">
        <v>148</v>
      </c>
    </row>
    <row r="20" spans="2:14" ht="18" customHeight="1">
      <c r="B20" s="11" t="s">
        <v>174</v>
      </c>
      <c r="C20" s="11" t="s">
        <v>193</v>
      </c>
      <c r="D20" s="55" t="s">
        <v>225</v>
      </c>
      <c r="E20" s="56" t="s">
        <v>226</v>
      </c>
      <c r="F20" s="50">
        <v>6.27</v>
      </c>
      <c r="G20" s="57">
        <v>0.02</v>
      </c>
      <c r="H20" s="57">
        <f>HLOOKUP(G20,BDI!$C$19:$I$30,12,)</f>
        <v>0.2223</v>
      </c>
      <c r="I20" s="52">
        <v>461.59</v>
      </c>
      <c r="J20" s="52">
        <v>294.43</v>
      </c>
      <c r="K20" s="52">
        <v>167.16</v>
      </c>
      <c r="L20" s="52">
        <v>0</v>
      </c>
      <c r="M20" s="52" t="s">
        <v>147</v>
      </c>
      <c r="N20" s="52" t="s">
        <v>148</v>
      </c>
    </row>
    <row r="21" spans="2:14" ht="18" customHeight="1">
      <c r="B21" s="11" t="s">
        <v>174</v>
      </c>
      <c r="C21" s="11" t="s">
        <v>193</v>
      </c>
      <c r="D21" s="55" t="s">
        <v>227</v>
      </c>
      <c r="E21" s="56" t="s">
        <v>228</v>
      </c>
      <c r="F21" s="50">
        <v>6.03</v>
      </c>
      <c r="G21" s="57">
        <v>0.02</v>
      </c>
      <c r="H21" s="57">
        <f>HLOOKUP(G21,BDI!$C$19:$I$30,12,)</f>
        <v>0.2223</v>
      </c>
      <c r="I21" s="52">
        <v>2111.12</v>
      </c>
      <c r="J21" s="52">
        <v>689.74</v>
      </c>
      <c r="K21" s="52">
        <v>1262.17</v>
      </c>
      <c r="L21" s="52">
        <v>159.21</v>
      </c>
      <c r="M21" s="52" t="s">
        <v>147</v>
      </c>
      <c r="N21" s="52" t="s">
        <v>148</v>
      </c>
    </row>
    <row r="22" spans="2:14" ht="18" customHeight="1">
      <c r="B22" s="11" t="s">
        <v>174</v>
      </c>
      <c r="C22" s="11" t="s">
        <v>193</v>
      </c>
      <c r="D22" s="55" t="s">
        <v>229</v>
      </c>
      <c r="E22" s="56" t="s">
        <v>230</v>
      </c>
      <c r="F22" s="50">
        <v>5.5</v>
      </c>
      <c r="G22" s="57">
        <v>2.5000000000000001E-2</v>
      </c>
      <c r="H22" s="57">
        <f>HLOOKUP(G22,BDI!$C$19:$I$30,12,)</f>
        <v>0.2288</v>
      </c>
      <c r="I22" s="52">
        <v>949.02</v>
      </c>
      <c r="J22" s="52">
        <v>332.74</v>
      </c>
      <c r="K22" s="52">
        <v>616.28</v>
      </c>
      <c r="L22" s="52">
        <v>0</v>
      </c>
      <c r="M22" s="52" t="s">
        <v>147</v>
      </c>
      <c r="N22" s="52" t="s">
        <v>147</v>
      </c>
    </row>
    <row r="23" spans="2:14" ht="18" customHeight="1">
      <c r="B23" s="11" t="s">
        <v>174</v>
      </c>
      <c r="C23" s="11" t="s">
        <v>193</v>
      </c>
      <c r="D23" s="55" t="s">
        <v>231</v>
      </c>
      <c r="E23" s="56" t="s">
        <v>232</v>
      </c>
      <c r="F23" s="50">
        <v>6.2</v>
      </c>
      <c r="G23" s="57">
        <v>0.03</v>
      </c>
      <c r="H23" s="57">
        <f>HLOOKUP(G23,BDI!$C$19:$I$30,12,)</f>
        <v>0.2354</v>
      </c>
      <c r="I23" s="52">
        <v>950.51</v>
      </c>
      <c r="J23" s="52">
        <v>387.48</v>
      </c>
      <c r="K23" s="52">
        <v>524.38</v>
      </c>
      <c r="L23" s="52">
        <v>38.65</v>
      </c>
      <c r="M23" s="52" t="s">
        <v>147</v>
      </c>
      <c r="N23" s="52" t="s">
        <v>148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37"/>
  <sheetViews>
    <sheetView showGridLines="0" zoomScale="110" zoomScaleNormal="110" workbookViewId="0">
      <selection activeCell="K11" sqref="K11"/>
    </sheetView>
  </sheetViews>
  <sheetFormatPr defaultRowHeight="14.25"/>
  <cols>
    <col min="1" max="1" width="5.625" customWidth="1"/>
    <col min="2" max="2" width="10.625" style="46" customWidth="1"/>
    <col min="3" max="3" width="35.625" style="26" customWidth="1"/>
    <col min="4" max="1022" width="10.375" customWidth="1"/>
  </cols>
  <sheetData>
    <row r="1" spans="2:10" ht="15" customHeight="1"/>
    <row r="2" spans="2:10" ht="20.100000000000001" customHeight="1">
      <c r="B2" s="291" t="s">
        <v>149</v>
      </c>
      <c r="C2" s="292"/>
      <c r="D2" s="292"/>
      <c r="E2" s="292"/>
      <c r="F2" s="292"/>
      <c r="G2" s="292"/>
      <c r="H2" s="292"/>
      <c r="I2" s="292"/>
      <c r="J2" s="293"/>
    </row>
    <row r="3" spans="2:10" ht="20.100000000000001" customHeight="1">
      <c r="B3" s="294" t="str">
        <f>'Valor da Contratação'!B8</f>
        <v>NÃO DESONERADA</v>
      </c>
      <c r="C3" s="295"/>
      <c r="D3" s="295"/>
      <c r="E3" s="295"/>
      <c r="F3" s="295"/>
      <c r="G3" s="295"/>
      <c r="H3" s="295"/>
      <c r="I3" s="295"/>
      <c r="J3" s="296"/>
    </row>
    <row r="4" spans="2:10" ht="15" customHeight="1">
      <c r="B4" s="47"/>
      <c r="C4" s="47"/>
      <c r="D4" s="9"/>
    </row>
    <row r="5" spans="2:10" ht="15" customHeight="1">
      <c r="B5" s="297" t="s">
        <v>150</v>
      </c>
      <c r="C5" s="298"/>
      <c r="D5" s="298"/>
      <c r="E5" s="298"/>
      <c r="F5" s="298"/>
      <c r="G5" s="298"/>
      <c r="H5" s="298"/>
      <c r="I5" s="298"/>
      <c r="J5" s="299"/>
    </row>
    <row r="6" spans="2:10" ht="15" customHeight="1">
      <c r="B6" s="74"/>
      <c r="C6" s="5"/>
      <c r="D6" s="54"/>
      <c r="E6" s="54"/>
      <c r="J6" s="75"/>
    </row>
    <row r="7" spans="2:10" ht="15" customHeight="1">
      <c r="B7" s="300" t="s">
        <v>151</v>
      </c>
      <c r="C7" s="301"/>
      <c r="D7" s="301"/>
      <c r="E7" s="301"/>
      <c r="F7" s="301"/>
      <c r="G7" s="301"/>
      <c r="H7" s="301"/>
      <c r="I7" s="301"/>
      <c r="J7" s="302"/>
    </row>
    <row r="8" spans="2:10" ht="15" customHeight="1">
      <c r="B8" s="76"/>
      <c r="C8" s="137"/>
      <c r="D8" s="54"/>
      <c r="E8" s="54"/>
      <c r="J8" s="75"/>
    </row>
    <row r="9" spans="2:10" ht="15" customHeight="1">
      <c r="B9" s="303" t="s">
        <v>152</v>
      </c>
      <c r="C9" s="304"/>
      <c r="D9" s="304"/>
      <c r="E9" s="304"/>
      <c r="F9" s="304"/>
      <c r="G9" s="304"/>
      <c r="H9" s="304"/>
      <c r="I9" s="304"/>
      <c r="J9" s="305"/>
    </row>
    <row r="10" spans="2:10" ht="15" customHeight="1">
      <c r="B10" s="288" t="s">
        <v>153</v>
      </c>
      <c r="C10" s="289"/>
      <c r="D10" s="289"/>
      <c r="E10" s="289"/>
      <c r="F10" s="289"/>
      <c r="G10" s="289"/>
      <c r="H10" s="289"/>
      <c r="I10" s="289"/>
      <c r="J10" s="290"/>
    </row>
    <row r="11" spans="2:10" ht="15" customHeight="1">
      <c r="B11" s="288" t="s">
        <v>154</v>
      </c>
      <c r="C11" s="289"/>
      <c r="D11" s="289"/>
      <c r="E11" s="289"/>
      <c r="F11" s="289"/>
      <c r="G11" s="289"/>
      <c r="H11" s="289"/>
      <c r="I11" s="289"/>
      <c r="J11" s="290"/>
    </row>
    <row r="12" spans="2:10" ht="15" customHeight="1">
      <c r="B12" s="288" t="s">
        <v>155</v>
      </c>
      <c r="C12" s="289"/>
      <c r="D12" s="289"/>
      <c r="E12" s="289"/>
      <c r="F12" s="289"/>
      <c r="G12" s="289"/>
      <c r="H12" s="289"/>
      <c r="I12" s="289"/>
      <c r="J12" s="290"/>
    </row>
    <row r="13" spans="2:10" ht="15" customHeight="1">
      <c r="B13" s="288" t="s">
        <v>156</v>
      </c>
      <c r="C13" s="289"/>
      <c r="D13" s="289"/>
      <c r="E13" s="289"/>
      <c r="F13" s="289"/>
      <c r="G13" s="289"/>
      <c r="H13" s="289"/>
      <c r="I13" s="289"/>
      <c r="J13" s="290"/>
    </row>
    <row r="14" spans="2:10" ht="15" customHeight="1">
      <c r="B14" s="288" t="s">
        <v>157</v>
      </c>
      <c r="C14" s="289"/>
      <c r="D14" s="289"/>
      <c r="E14" s="289"/>
      <c r="F14" s="289"/>
      <c r="G14" s="289"/>
      <c r="H14" s="289"/>
      <c r="I14" s="289"/>
      <c r="J14" s="290"/>
    </row>
    <row r="15" spans="2:10" ht="15" customHeight="1">
      <c r="B15" s="288" t="s">
        <v>158</v>
      </c>
      <c r="C15" s="289"/>
      <c r="D15" s="289"/>
      <c r="E15" s="289"/>
      <c r="F15" s="289"/>
      <c r="G15" s="289"/>
      <c r="H15" s="289"/>
      <c r="I15" s="289"/>
      <c r="J15" s="290"/>
    </row>
    <row r="16" spans="2:10" ht="15" customHeight="1">
      <c r="B16" s="306" t="s">
        <v>159</v>
      </c>
      <c r="C16" s="307"/>
      <c r="D16" s="307"/>
      <c r="E16" s="307"/>
      <c r="F16" s="307"/>
      <c r="G16" s="307"/>
      <c r="H16" s="307"/>
      <c r="I16" s="307"/>
      <c r="J16" s="308"/>
    </row>
    <row r="17" spans="2:10" ht="24.95" customHeight="1">
      <c r="C17" s="46"/>
      <c r="D17" s="9"/>
    </row>
    <row r="18" spans="2:10" ht="17.100000000000001" customHeight="1">
      <c r="B18" s="309" t="s">
        <v>160</v>
      </c>
      <c r="C18" s="310"/>
      <c r="D18" s="129" t="s">
        <v>140</v>
      </c>
      <c r="E18" s="129" t="s">
        <v>140</v>
      </c>
      <c r="F18" s="129" t="s">
        <v>140</v>
      </c>
      <c r="G18" s="128" t="s">
        <v>140</v>
      </c>
      <c r="H18" s="130" t="s">
        <v>140</v>
      </c>
      <c r="I18" s="130" t="s">
        <v>140</v>
      </c>
      <c r="J18" s="130" t="s">
        <v>140</v>
      </c>
    </row>
    <row r="19" spans="2:10" ht="17.100000000000001" customHeight="1">
      <c r="B19" s="311"/>
      <c r="C19" s="312"/>
      <c r="D19" s="131">
        <v>0.05</v>
      </c>
      <c r="E19" s="131">
        <v>0.04</v>
      </c>
      <c r="F19" s="131">
        <v>3.5000000000000003E-2</v>
      </c>
      <c r="G19" s="132">
        <v>0.03</v>
      </c>
      <c r="H19" s="133">
        <v>2.5000000000000001E-2</v>
      </c>
      <c r="I19" s="133">
        <v>0.02</v>
      </c>
      <c r="J19" s="133">
        <v>1.4999999999999999E-2</v>
      </c>
    </row>
    <row r="20" spans="2:10" ht="17.100000000000001" customHeight="1">
      <c r="B20" s="70" t="s">
        <v>177</v>
      </c>
      <c r="C20" s="138" t="s">
        <v>178</v>
      </c>
      <c r="D20" s="127">
        <v>0.04</v>
      </c>
      <c r="E20" s="127">
        <v>0.04</v>
      </c>
      <c r="F20" s="127">
        <v>0.04</v>
      </c>
      <c r="G20" s="127">
        <v>0.04</v>
      </c>
      <c r="H20" s="127">
        <v>0.04</v>
      </c>
      <c r="I20" s="127">
        <v>0.04</v>
      </c>
      <c r="J20" s="127">
        <v>0.04</v>
      </c>
    </row>
    <row r="21" spans="2:10" ht="17.100000000000001" customHeight="1">
      <c r="B21" s="70" t="s">
        <v>179</v>
      </c>
      <c r="C21" s="11" t="s">
        <v>180</v>
      </c>
      <c r="D21" s="59">
        <v>1.23E-2</v>
      </c>
      <c r="E21" s="59">
        <v>1.23E-2</v>
      </c>
      <c r="F21" s="59">
        <v>1.23E-2</v>
      </c>
      <c r="G21" s="59">
        <v>1.23E-2</v>
      </c>
      <c r="H21" s="59">
        <v>1.23E-2</v>
      </c>
      <c r="I21" s="59">
        <v>1.23E-2</v>
      </c>
      <c r="J21" s="59">
        <v>1.23E-2</v>
      </c>
    </row>
    <row r="22" spans="2:10" ht="17.100000000000001" customHeight="1">
      <c r="B22" s="70" t="s">
        <v>181</v>
      </c>
      <c r="C22" s="11" t="s">
        <v>182</v>
      </c>
      <c r="D22" s="59">
        <v>8.0000000000000002E-3</v>
      </c>
      <c r="E22" s="59">
        <v>8.0000000000000002E-3</v>
      </c>
      <c r="F22" s="59">
        <v>8.0000000000000002E-3</v>
      </c>
      <c r="G22" s="59">
        <v>8.0000000000000002E-3</v>
      </c>
      <c r="H22" s="59">
        <v>8.0000000000000002E-3</v>
      </c>
      <c r="I22" s="59">
        <v>8.0000000000000002E-3</v>
      </c>
      <c r="J22" s="59">
        <v>8.0000000000000002E-3</v>
      </c>
    </row>
    <row r="23" spans="2:10" ht="17.100000000000001" customHeight="1">
      <c r="B23" s="70" t="s">
        <v>183</v>
      </c>
      <c r="C23" s="11" t="s">
        <v>184</v>
      </c>
      <c r="D23" s="59">
        <v>1.2699999999999999E-2</v>
      </c>
      <c r="E23" s="59">
        <v>1.2699999999999999E-2</v>
      </c>
      <c r="F23" s="59">
        <v>1.2699999999999999E-2</v>
      </c>
      <c r="G23" s="59">
        <v>1.2699999999999999E-2</v>
      </c>
      <c r="H23" s="59">
        <v>1.2699999999999999E-2</v>
      </c>
      <c r="I23" s="59">
        <v>1.2699999999999999E-2</v>
      </c>
      <c r="J23" s="59">
        <v>1.2699999999999999E-2</v>
      </c>
    </row>
    <row r="24" spans="2:10" ht="17.100000000000001" customHeight="1">
      <c r="B24" s="70" t="s">
        <v>185</v>
      </c>
      <c r="C24" s="11" t="s">
        <v>186</v>
      </c>
      <c r="D24" s="59">
        <v>7.3999999999999996E-2</v>
      </c>
      <c r="E24" s="59">
        <v>7.3999999999999996E-2</v>
      </c>
      <c r="F24" s="59">
        <v>7.3999999999999996E-2</v>
      </c>
      <c r="G24" s="59">
        <v>7.3999999999999996E-2</v>
      </c>
      <c r="H24" s="59">
        <v>7.3999999999999996E-2</v>
      </c>
      <c r="I24" s="59">
        <v>7.3999999999999996E-2</v>
      </c>
      <c r="J24" s="59">
        <v>7.3999999999999996E-2</v>
      </c>
    </row>
    <row r="25" spans="2:10" ht="17.100000000000001" customHeight="1">
      <c r="B25" s="313" t="s">
        <v>187</v>
      </c>
      <c r="C25" s="11" t="s">
        <v>188</v>
      </c>
      <c r="D25" s="59">
        <v>6.4999999999999997E-3</v>
      </c>
      <c r="E25" s="59">
        <v>6.4999999999999997E-3</v>
      </c>
      <c r="F25" s="59">
        <v>6.4999999999999997E-3</v>
      </c>
      <c r="G25" s="59">
        <v>6.4999999999999997E-3</v>
      </c>
      <c r="H25" s="59">
        <v>6.4999999999999997E-3</v>
      </c>
      <c r="I25" s="59">
        <v>6.4999999999999997E-3</v>
      </c>
      <c r="J25" s="59">
        <v>6.4999999999999997E-3</v>
      </c>
    </row>
    <row r="26" spans="2:10" ht="17.100000000000001" customHeight="1">
      <c r="B26" s="313"/>
      <c r="C26" s="70" t="s">
        <v>189</v>
      </c>
      <c r="D26" s="60">
        <v>0.03</v>
      </c>
      <c r="E26" s="60">
        <v>0.03</v>
      </c>
      <c r="F26" s="60">
        <v>0.03</v>
      </c>
      <c r="G26" s="60">
        <v>0.03</v>
      </c>
      <c r="H26" s="60">
        <v>0.03</v>
      </c>
      <c r="I26" s="60">
        <v>0.03</v>
      </c>
      <c r="J26" s="60">
        <v>0.03</v>
      </c>
    </row>
    <row r="27" spans="2:10" ht="17.100000000000001" customHeight="1">
      <c r="B27" s="313"/>
      <c r="C27" s="70" t="s">
        <v>140</v>
      </c>
      <c r="D27" s="60">
        <v>0.05</v>
      </c>
      <c r="E27" s="60">
        <v>0.04</v>
      </c>
      <c r="F27" s="59">
        <v>3.5000000000000003E-2</v>
      </c>
      <c r="G27" s="60">
        <v>0.03</v>
      </c>
      <c r="H27" s="60">
        <v>2.5000000000000001E-2</v>
      </c>
      <c r="I27" s="60">
        <v>0.02</v>
      </c>
      <c r="J27" s="59">
        <v>1.4999999999999999E-2</v>
      </c>
    </row>
    <row r="28" spans="2:10" ht="17.100000000000001" customHeight="1">
      <c r="B28" s="313"/>
      <c r="C28" s="70" t="s">
        <v>190</v>
      </c>
      <c r="D28" s="60">
        <v>0</v>
      </c>
      <c r="E28" s="60">
        <v>0</v>
      </c>
      <c r="F28" s="59">
        <v>0</v>
      </c>
      <c r="G28" s="60">
        <v>0</v>
      </c>
      <c r="H28" s="60">
        <v>0</v>
      </c>
      <c r="I28" s="60">
        <v>0</v>
      </c>
      <c r="J28" s="59">
        <v>0</v>
      </c>
    </row>
    <row r="29" spans="2:10" ht="20.100000000000001" customHeight="1">
      <c r="B29" s="314" t="s">
        <v>161</v>
      </c>
      <c r="C29" s="315"/>
      <c r="D29" s="139">
        <f>(((1+D22+D20+D23)*(1+D21)*(1+D24))/(1-(D25+D26+D27+D28))-1)</f>
        <v>0.26240159730706081</v>
      </c>
      <c r="E29" s="139">
        <f t="shared" ref="E29:J29" si="0">(((1+E22+E20+E23)*(1+E21)*(1+E24))/(1-(E25+E26+E27+E28))-1)</f>
        <v>0.24873184530590153</v>
      </c>
      <c r="F29" s="139">
        <f t="shared" si="0"/>
        <v>0.24200738733441041</v>
      </c>
      <c r="G29" s="139">
        <f t="shared" si="0"/>
        <v>0.23535496426352442</v>
      </c>
      <c r="H29" s="139">
        <f t="shared" si="0"/>
        <v>0.22877342476291962</v>
      </c>
      <c r="I29" s="139">
        <f t="shared" si="0"/>
        <v>0.22226164190779008</v>
      </c>
      <c r="J29" s="139">
        <f t="shared" si="0"/>
        <v>0.21581851253558249</v>
      </c>
    </row>
    <row r="30" spans="2:10" ht="20.100000000000001" customHeight="1">
      <c r="B30" s="316" t="s">
        <v>162</v>
      </c>
      <c r="C30" s="317"/>
      <c r="D30" s="69">
        <f t="shared" ref="D30:J30" si="1">ROUND(D29,4)</f>
        <v>0.26240000000000002</v>
      </c>
      <c r="E30" s="69">
        <f t="shared" si="1"/>
        <v>0.2487</v>
      </c>
      <c r="F30" s="69">
        <f t="shared" si="1"/>
        <v>0.24199999999999999</v>
      </c>
      <c r="G30" s="69">
        <f t="shared" si="1"/>
        <v>0.2354</v>
      </c>
      <c r="H30" s="69">
        <f t="shared" si="1"/>
        <v>0.2288</v>
      </c>
      <c r="I30" s="69">
        <f t="shared" si="1"/>
        <v>0.2223</v>
      </c>
      <c r="J30" s="69">
        <f t="shared" si="1"/>
        <v>0.21579999999999999</v>
      </c>
    </row>
    <row r="31" spans="2:10" ht="20.100000000000001" customHeight="1">
      <c r="B31" s="43"/>
      <c r="C31" s="43"/>
      <c r="D31" s="36"/>
      <c r="E31" s="36"/>
      <c r="F31" s="36"/>
      <c r="G31" s="36"/>
      <c r="H31" s="36"/>
      <c r="I31" s="36"/>
      <c r="J31" s="36"/>
    </row>
    <row r="32" spans="2:10" ht="17.100000000000001" customHeight="1">
      <c r="B32" s="309" t="s">
        <v>163</v>
      </c>
      <c r="C32" s="310"/>
      <c r="D32" s="129" t="s">
        <v>140</v>
      </c>
      <c r="E32" s="129" t="s">
        <v>140</v>
      </c>
      <c r="F32" s="129" t="s">
        <v>140</v>
      </c>
      <c r="G32" s="128" t="s">
        <v>140</v>
      </c>
      <c r="H32" s="130" t="s">
        <v>140</v>
      </c>
      <c r="I32" s="130" t="s">
        <v>140</v>
      </c>
      <c r="J32" s="130" t="s">
        <v>140</v>
      </c>
    </row>
    <row r="33" spans="2:10" ht="17.100000000000001" customHeight="1">
      <c r="B33" s="311"/>
      <c r="C33" s="312"/>
      <c r="D33" s="131">
        <v>0.05</v>
      </c>
      <c r="E33" s="131">
        <v>0.04</v>
      </c>
      <c r="F33" s="131">
        <v>3.5000000000000003E-2</v>
      </c>
      <c r="G33" s="132">
        <v>0.03</v>
      </c>
      <c r="H33" s="133">
        <v>2.5000000000000001E-2</v>
      </c>
      <c r="I33" s="133">
        <v>0.02</v>
      </c>
      <c r="J33" s="133">
        <v>1.4999999999999999E-2</v>
      </c>
    </row>
    <row r="34" spans="2:10" ht="17.100000000000001" customHeight="1">
      <c r="B34" s="70" t="s">
        <v>177</v>
      </c>
      <c r="C34" s="138" t="s">
        <v>178</v>
      </c>
      <c r="D34" s="59">
        <v>3.4500000000000003E-2</v>
      </c>
      <c r="E34" s="59">
        <v>3.4500000000000003E-2</v>
      </c>
      <c r="F34" s="59">
        <v>3.4500000000000003E-2</v>
      </c>
      <c r="G34" s="59">
        <v>3.4500000000000003E-2</v>
      </c>
      <c r="H34" s="59">
        <v>3.4500000000000003E-2</v>
      </c>
      <c r="I34" s="59">
        <v>3.4500000000000003E-2</v>
      </c>
      <c r="J34" s="59">
        <v>3.4500000000000003E-2</v>
      </c>
    </row>
    <row r="35" spans="2:10" ht="17.100000000000001" customHeight="1">
      <c r="B35" s="70" t="s">
        <v>179</v>
      </c>
      <c r="C35" s="11" t="s">
        <v>180</v>
      </c>
      <c r="D35" s="59">
        <v>8.5000000000000006E-3</v>
      </c>
      <c r="E35" s="59">
        <v>8.5000000000000006E-3</v>
      </c>
      <c r="F35" s="59">
        <v>8.5000000000000006E-3</v>
      </c>
      <c r="G35" s="59">
        <v>8.5000000000000006E-3</v>
      </c>
      <c r="H35" s="59">
        <v>8.5000000000000006E-3</v>
      </c>
      <c r="I35" s="59">
        <v>8.5000000000000006E-3</v>
      </c>
      <c r="J35" s="59">
        <v>8.5000000000000006E-3</v>
      </c>
    </row>
    <row r="36" spans="2:10" ht="17.100000000000001" customHeight="1">
      <c r="B36" s="70" t="s">
        <v>181</v>
      </c>
      <c r="C36" s="11" t="s">
        <v>182</v>
      </c>
      <c r="D36" s="59">
        <v>4.7999999999999996E-3</v>
      </c>
      <c r="E36" s="59">
        <v>4.7999999999999996E-3</v>
      </c>
      <c r="F36" s="59">
        <v>4.7999999999999996E-3</v>
      </c>
      <c r="G36" s="59">
        <v>4.7999999999999996E-3</v>
      </c>
      <c r="H36" s="59">
        <v>4.7999999999999996E-3</v>
      </c>
      <c r="I36" s="59">
        <v>4.7999999999999996E-3</v>
      </c>
      <c r="J36" s="59">
        <v>4.7999999999999996E-3</v>
      </c>
    </row>
    <row r="37" spans="2:10" ht="17.100000000000001" customHeight="1">
      <c r="B37" s="70" t="s">
        <v>183</v>
      </c>
      <c r="C37" s="11" t="s">
        <v>184</v>
      </c>
      <c r="D37" s="59">
        <v>8.5000000000000006E-3</v>
      </c>
      <c r="E37" s="59">
        <v>8.5000000000000006E-3</v>
      </c>
      <c r="F37" s="59">
        <v>8.5000000000000006E-3</v>
      </c>
      <c r="G37" s="59">
        <v>8.5000000000000006E-3</v>
      </c>
      <c r="H37" s="59">
        <v>8.5000000000000006E-3</v>
      </c>
      <c r="I37" s="59">
        <v>8.5000000000000006E-3</v>
      </c>
      <c r="J37" s="59">
        <v>8.5000000000000006E-3</v>
      </c>
    </row>
    <row r="38" spans="2:10" ht="17.100000000000001" customHeight="1">
      <c r="B38" s="70" t="s">
        <v>185</v>
      </c>
      <c r="C38" s="11" t="s">
        <v>186</v>
      </c>
      <c r="D38" s="59">
        <v>5.11E-2</v>
      </c>
      <c r="E38" s="59">
        <v>5.11E-2</v>
      </c>
      <c r="F38" s="59">
        <v>5.11E-2</v>
      </c>
      <c r="G38" s="59">
        <v>5.11E-2</v>
      </c>
      <c r="H38" s="59">
        <v>5.11E-2</v>
      </c>
      <c r="I38" s="59">
        <v>5.11E-2</v>
      </c>
      <c r="J38" s="59">
        <v>5.11E-2</v>
      </c>
    </row>
    <row r="39" spans="2:10" ht="17.100000000000001" customHeight="1">
      <c r="B39" s="313" t="s">
        <v>187</v>
      </c>
      <c r="C39" s="11" t="s">
        <v>188</v>
      </c>
      <c r="D39" s="59">
        <v>6.4999999999999997E-3</v>
      </c>
      <c r="E39" s="59">
        <v>6.4999999999999997E-3</v>
      </c>
      <c r="F39" s="59">
        <v>6.4999999999999997E-3</v>
      </c>
      <c r="G39" s="59">
        <v>6.4999999999999997E-3</v>
      </c>
      <c r="H39" s="59">
        <v>6.4999999999999997E-3</v>
      </c>
      <c r="I39" s="59">
        <v>6.4999999999999997E-3</v>
      </c>
      <c r="J39" s="59">
        <v>6.4999999999999997E-3</v>
      </c>
    </row>
    <row r="40" spans="2:10" ht="17.100000000000001" customHeight="1">
      <c r="B40" s="313"/>
      <c r="C40" s="70" t="s">
        <v>189</v>
      </c>
      <c r="D40" s="60">
        <v>0.03</v>
      </c>
      <c r="E40" s="60">
        <v>0.03</v>
      </c>
      <c r="F40" s="60">
        <v>0.03</v>
      </c>
      <c r="G40" s="60">
        <v>0.03</v>
      </c>
      <c r="H40" s="60">
        <v>0.03</v>
      </c>
      <c r="I40" s="60">
        <v>0.03</v>
      </c>
      <c r="J40" s="60">
        <v>0.03</v>
      </c>
    </row>
    <row r="41" spans="2:10" ht="17.100000000000001" customHeight="1">
      <c r="B41" s="313"/>
      <c r="C41" s="70" t="s">
        <v>140</v>
      </c>
      <c r="D41" s="60">
        <v>0</v>
      </c>
      <c r="E41" s="60">
        <v>0</v>
      </c>
      <c r="F41" s="59">
        <v>0</v>
      </c>
      <c r="G41" s="60">
        <v>0</v>
      </c>
      <c r="H41" s="60">
        <v>0</v>
      </c>
      <c r="I41" s="60">
        <v>0</v>
      </c>
      <c r="J41" s="59">
        <v>0</v>
      </c>
    </row>
    <row r="42" spans="2:10" ht="17.100000000000001" customHeight="1">
      <c r="B42" s="313"/>
      <c r="C42" s="70" t="s">
        <v>190</v>
      </c>
      <c r="D42" s="60">
        <v>0</v>
      </c>
      <c r="E42" s="60">
        <v>0</v>
      </c>
      <c r="F42" s="59">
        <v>0</v>
      </c>
      <c r="G42" s="60">
        <v>0</v>
      </c>
      <c r="H42" s="60">
        <v>0</v>
      </c>
      <c r="I42" s="60">
        <v>0</v>
      </c>
      <c r="J42" s="59">
        <v>0</v>
      </c>
    </row>
    <row r="43" spans="2:10" ht="20.100000000000001" customHeight="1">
      <c r="B43" s="318" t="s">
        <v>161</v>
      </c>
      <c r="C43" s="319"/>
      <c r="D43" s="139">
        <f>(((1+D36+D34+D37)*(1+D35)*(1+D38))/(1-(D39+D40+D41+D42))-1)</f>
        <v>0.15278047942916406</v>
      </c>
      <c r="E43" s="139">
        <f t="shared" ref="E43:J43" si="2">(((1+E36+E34+E37)*(1+E35)*(1+E38))/(1-(E39+E40+E41+E42))-1)</f>
        <v>0.15278047942916406</v>
      </c>
      <c r="F43" s="139">
        <f t="shared" si="2"/>
        <v>0.15278047942916406</v>
      </c>
      <c r="G43" s="139">
        <f t="shared" si="2"/>
        <v>0.15278047942916406</v>
      </c>
      <c r="H43" s="139">
        <f t="shared" si="2"/>
        <v>0.15278047942916406</v>
      </c>
      <c r="I43" s="139">
        <f t="shared" si="2"/>
        <v>0.15278047942916406</v>
      </c>
      <c r="J43" s="139">
        <f t="shared" si="2"/>
        <v>0.15278047942916406</v>
      </c>
    </row>
    <row r="44" spans="2:10" ht="20.100000000000001" customHeight="1">
      <c r="B44" s="320" t="s">
        <v>162</v>
      </c>
      <c r="C44" s="321"/>
      <c r="D44" s="69">
        <f t="shared" ref="D44:J44" si="3">ROUND(D43,4)</f>
        <v>0.15279999999999999</v>
      </c>
      <c r="E44" s="69">
        <f t="shared" si="3"/>
        <v>0.15279999999999999</v>
      </c>
      <c r="F44" s="69">
        <f t="shared" si="3"/>
        <v>0.15279999999999999</v>
      </c>
      <c r="G44" s="69">
        <f t="shared" si="3"/>
        <v>0.15279999999999999</v>
      </c>
      <c r="H44" s="69">
        <f t="shared" si="3"/>
        <v>0.15279999999999999</v>
      </c>
      <c r="I44" s="69">
        <f t="shared" si="3"/>
        <v>0.15279999999999999</v>
      </c>
      <c r="J44" s="69">
        <f t="shared" si="3"/>
        <v>0.15279999999999999</v>
      </c>
    </row>
    <row r="65536" ht="12.75" customHeight="1"/>
    <row r="65537" ht="12.75" customHeight="1"/>
  </sheetData>
  <mergeCells count="20">
    <mergeCell ref="B30:C30"/>
    <mergeCell ref="B32:C33"/>
    <mergeCell ref="B39:B42"/>
    <mergeCell ref="B43:C43"/>
    <mergeCell ref="B44:C44"/>
    <mergeCell ref="B15:J15"/>
    <mergeCell ref="B16:J16"/>
    <mergeCell ref="B18:C19"/>
    <mergeCell ref="B25:B28"/>
    <mergeCell ref="B29:C29"/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4"/>
  <sheetViews>
    <sheetView showGridLines="0" zoomScale="110" zoomScaleNormal="110" workbookViewId="0">
      <selection activeCell="E5" sqref="E5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22" t="str">
        <f>"DIVISÃO DOS CUSTOS POR ALÍQUOTA DE ISSQN - "&amp;'Valor da Contratação'!B7&amp;""</f>
        <v>DIVISÃO DOS CUSTOS POR ALÍQUOTA DE ISSQN - POLO IX</v>
      </c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</row>
    <row r="3" spans="2:249" ht="17.100000000000001" customHeight="1"/>
    <row r="4" spans="2:249" ht="45.75" customHeight="1">
      <c r="B4" s="110" t="s">
        <v>34</v>
      </c>
      <c r="C4" s="111" t="s">
        <v>164</v>
      </c>
      <c r="D4" s="111" t="s">
        <v>165</v>
      </c>
      <c r="E4" s="111" t="s">
        <v>166</v>
      </c>
      <c r="F4" s="68"/>
      <c r="G4" s="111" t="s">
        <v>167</v>
      </c>
      <c r="H4" s="111" t="s">
        <v>168</v>
      </c>
      <c r="I4" s="111" t="s">
        <v>169</v>
      </c>
      <c r="J4" s="111" t="s">
        <v>170</v>
      </c>
      <c r="K4" s="111" t="s">
        <v>171</v>
      </c>
      <c r="L4" s="111" t="s">
        <v>172</v>
      </c>
      <c r="M4" s="111" t="s">
        <v>173</v>
      </c>
    </row>
    <row r="5" spans="2:249" ht="15" customHeight="1">
      <c r="B5" s="92" t="str">
        <f>'Base Passo Fundo'!B7</f>
        <v>APS Nova Prata</v>
      </c>
      <c r="C5" s="108">
        <f>VLOOKUP(B5,Unidades!$D$5:$G$23,4,)</f>
        <v>0.03</v>
      </c>
      <c r="D5" s="109">
        <f>'Base Passo Fundo'!AD7*12+'Base Passo Fundo'!AE7*4+'Base Passo Fundo'!AF7*2+'Base Passo Fundo'!AG7</f>
        <v>11442.308439473321</v>
      </c>
      <c r="E5" s="109">
        <f>'Base Passo Fundo'!AK7*12+'Base Passo Fundo'!AL7*4+'Base Passo Fundo'!AM7*2+'Base Passo Fundo'!AN7</f>
        <v>14135.827846125343</v>
      </c>
      <c r="G5" s="112">
        <v>0.02</v>
      </c>
      <c r="H5" s="114">
        <f t="shared" ref="H5:H11" si="0">SUMIF(C$5:C$23,G5,D$5:D$23)</f>
        <v>109803.16000005744</v>
      </c>
      <c r="I5" s="114">
        <f t="shared" ref="I5:I11" si="1">SUMIF(C$5:C$23,G5,E$5:E$23)</f>
        <v>134212.40246807021</v>
      </c>
      <c r="J5" s="114">
        <f t="shared" ref="J5:K11" si="2">H5*4</f>
        <v>439212.64000022976</v>
      </c>
      <c r="K5" s="114">
        <f t="shared" si="2"/>
        <v>536849.60987228085</v>
      </c>
      <c r="L5" s="113">
        <f>H5/H$13</f>
        <v>0.4128735799804073</v>
      </c>
      <c r="M5" s="113">
        <f t="shared" ref="L5:M11" si="3">I5/I$13</f>
        <v>0.40944422259245694</v>
      </c>
    </row>
    <row r="6" spans="2:249" ht="15" customHeight="1">
      <c r="B6" s="92" t="str">
        <f>'Base Passo Fundo'!B8</f>
        <v>APS Vacaria</v>
      </c>
      <c r="C6" s="108">
        <f>VLOOKUP(B6,Unidades!$D$5:$G$23,4,)</f>
        <v>0.02</v>
      </c>
      <c r="D6" s="109">
        <f>'Base Passo Fundo'!AD8*12+'Base Passo Fundo'!AE8*4+'Base Passo Fundo'!AF8*2+'Base Passo Fundo'!AG8</f>
        <v>14589.31258596443</v>
      </c>
      <c r="E6" s="109">
        <f>'Base Passo Fundo'!AK8*12+'Base Passo Fundo'!AL8*4+'Base Passo Fundo'!AM8*2+'Base Passo Fundo'!AN8</f>
        <v>17832.516773824325</v>
      </c>
      <c r="G6" s="112">
        <v>2.5000000000000001E-2</v>
      </c>
      <c r="H6" s="114">
        <f t="shared" si="0"/>
        <v>26672.025311629674</v>
      </c>
      <c r="I6" s="114">
        <f t="shared" si="1"/>
        <v>32774.584702930544</v>
      </c>
      <c r="J6" s="114">
        <f t="shared" si="2"/>
        <v>106688.10124651869</v>
      </c>
      <c r="K6" s="114">
        <f t="shared" si="2"/>
        <v>131098.33881172218</v>
      </c>
      <c r="L6" s="113">
        <f t="shared" si="3"/>
        <v>0.10029014261278837</v>
      </c>
      <c r="M6" s="113">
        <f t="shared" si="3"/>
        <v>9.9986022958456169E-2</v>
      </c>
    </row>
    <row r="7" spans="2:249" ht="15" customHeight="1">
      <c r="B7" s="92" t="str">
        <f>'Base Passo Fundo'!B9</f>
        <v>APS Veranópolis</v>
      </c>
      <c r="C7" s="108">
        <f>VLOOKUP(B7,Unidades!$D$5:$G$23,4,)</f>
        <v>0.03</v>
      </c>
      <c r="D7" s="109">
        <f>'Base Passo Fundo'!AD9*12+'Base Passo Fundo'!AE9*4+'Base Passo Fundo'!AF9*2+'Base Passo Fundo'!AG9</f>
        <v>12790.77312215635</v>
      </c>
      <c r="E7" s="109">
        <f>'Base Passo Fundo'!AK9*12+'Base Passo Fundo'!AL9*4+'Base Passo Fundo'!AM9*2+'Base Passo Fundo'!AN9</f>
        <v>15801.721115111955</v>
      </c>
      <c r="G7" s="112">
        <v>0.03</v>
      </c>
      <c r="H7" s="114">
        <f t="shared" si="0"/>
        <v>92547.890957385462</v>
      </c>
      <c r="I7" s="114">
        <f t="shared" si="1"/>
        <v>114333.66448875399</v>
      </c>
      <c r="J7" s="114">
        <f t="shared" si="2"/>
        <v>370191.56382954185</v>
      </c>
      <c r="K7" s="114">
        <f t="shared" si="2"/>
        <v>457334.65795501595</v>
      </c>
      <c r="L7" s="113">
        <f t="shared" si="3"/>
        <v>0.34799161571663428</v>
      </c>
      <c r="M7" s="113">
        <f t="shared" si="3"/>
        <v>0.34879979429532815</v>
      </c>
    </row>
    <row r="8" spans="2:249" ht="15" customHeight="1">
      <c r="B8" s="92" t="str">
        <f>'Base Passo Fundo'!B10</f>
        <v>APS Carazinho</v>
      </c>
      <c r="C8" s="108">
        <f>VLOOKUP(B8,Unidades!$D$5:$G$23,4,)</f>
        <v>0.03</v>
      </c>
      <c r="D8" s="109">
        <f>'Base Passo Fundo'!AD10*12+'Base Passo Fundo'!AE10*4+'Base Passo Fundo'!AF10*2+'Base Passo Fundo'!AG10</f>
        <v>15772.616459338664</v>
      </c>
      <c r="E8" s="109">
        <f>'Base Passo Fundo'!AK10*12+'Base Passo Fundo'!AL10*4+'Base Passo Fundo'!AM10*2+'Base Passo Fundo'!AN10</f>
        <v>19485.490373866989</v>
      </c>
      <c r="G8" s="112">
        <v>3.5000000000000003E-2</v>
      </c>
      <c r="H8" s="114">
        <f t="shared" si="0"/>
        <v>0</v>
      </c>
      <c r="I8" s="114">
        <f t="shared" si="1"/>
        <v>0</v>
      </c>
      <c r="J8" s="114">
        <f t="shared" si="2"/>
        <v>0</v>
      </c>
      <c r="K8" s="114">
        <f t="shared" si="2"/>
        <v>0</v>
      </c>
      <c r="L8" s="113">
        <f t="shared" si="3"/>
        <v>0</v>
      </c>
      <c r="M8" s="113">
        <f t="shared" si="3"/>
        <v>0</v>
      </c>
    </row>
    <row r="9" spans="2:249" s="17" customFormat="1" ht="15" customHeight="1">
      <c r="B9" s="92" t="str">
        <f>'Base Passo Fundo'!B11</f>
        <v>APS Casca</v>
      </c>
      <c r="C9" s="108">
        <f>VLOOKUP(B9,Unidades!$D$5:$G$23,4,)</f>
        <v>0.02</v>
      </c>
      <c r="D9" s="109">
        <f>'Base Passo Fundo'!AD11*12+'Base Passo Fundo'!AE11*4+'Base Passo Fundo'!AF11*2+'Base Passo Fundo'!AG11</f>
        <v>11512.075372156351</v>
      </c>
      <c r="E9" s="109">
        <f>'Base Passo Fundo'!AK11*12+'Base Passo Fundo'!AL11*4+'Base Passo Fundo'!AM11*2+'Base Passo Fundo'!AN11</f>
        <v>14071.209727386708</v>
      </c>
      <c r="G9" s="112">
        <v>0.04</v>
      </c>
      <c r="H9" s="114">
        <f t="shared" si="0"/>
        <v>10496.280022806655</v>
      </c>
      <c r="I9" s="114">
        <f t="shared" si="1"/>
        <v>13106.70486447867</v>
      </c>
      <c r="J9" s="114">
        <f t="shared" si="2"/>
        <v>41985.120091226621</v>
      </c>
      <c r="K9" s="114">
        <f t="shared" si="2"/>
        <v>52426.81945791468</v>
      </c>
      <c r="L9" s="113">
        <f t="shared" si="3"/>
        <v>3.9467322338362101E-2</v>
      </c>
      <c r="M9" s="113">
        <f t="shared" si="3"/>
        <v>3.9984863435120692E-2</v>
      </c>
      <c r="IO9" s="18"/>
    </row>
    <row r="10" spans="2:249" s="17" customFormat="1" ht="15" customHeight="1">
      <c r="B10" s="92" t="str">
        <f>'Base Passo Fundo'!B12</f>
        <v>APS Erechim</v>
      </c>
      <c r="C10" s="108">
        <f>VLOOKUP(B10,Unidades!$D$5:$G$23,4,)</f>
        <v>0.05</v>
      </c>
      <c r="D10" s="109">
        <f>'Base Passo Fundo'!AD12*12+'Base Passo Fundo'!AE12*4+'Base Passo Fundo'!AF12*2+'Base Passo Fundo'!AG12</f>
        <v>14698.780101980792</v>
      </c>
      <c r="E10" s="109">
        <f>'Base Passo Fundo'!AK12*12+'Base Passo Fundo'!AL12*4+'Base Passo Fundo'!AM12*2+'Base Passo Fundo'!AN12</f>
        <v>18555.740000740549</v>
      </c>
      <c r="G10" s="112">
        <v>4.4999999999999998E-2</v>
      </c>
      <c r="H10" s="114">
        <f t="shared" si="0"/>
        <v>0</v>
      </c>
      <c r="I10" s="114">
        <f t="shared" si="1"/>
        <v>0</v>
      </c>
      <c r="J10" s="114">
        <f t="shared" si="2"/>
        <v>0</v>
      </c>
      <c r="K10" s="114">
        <f t="shared" si="2"/>
        <v>0</v>
      </c>
      <c r="L10" s="113">
        <f t="shared" si="3"/>
        <v>0</v>
      </c>
      <c r="M10" s="113">
        <f t="shared" si="3"/>
        <v>0</v>
      </c>
      <c r="IO10" s="18"/>
    </row>
    <row r="11" spans="2:249" ht="15" customHeight="1">
      <c r="B11" s="92" t="str">
        <f>'Base Passo Fundo'!B13</f>
        <v>APS Espumoso</v>
      </c>
      <c r="C11" s="108">
        <f>VLOOKUP(B11,Unidades!$D$5:$G$23,4,)</f>
        <v>0.04</v>
      </c>
      <c r="D11" s="109">
        <f>'Base Passo Fundo'!AD13*12+'Base Passo Fundo'!AE13*4+'Base Passo Fundo'!AF13*2+'Base Passo Fundo'!AG13</f>
        <v>10496.280022806655</v>
      </c>
      <c r="E11" s="109">
        <f>'Base Passo Fundo'!AK13*12+'Base Passo Fundo'!AL13*4+'Base Passo Fundo'!AM13*2+'Base Passo Fundo'!AN13</f>
        <v>13106.70486447867</v>
      </c>
      <c r="G11" s="112">
        <v>0.05</v>
      </c>
      <c r="H11" s="114">
        <f t="shared" si="0"/>
        <v>26429.266541454115</v>
      </c>
      <c r="I11" s="114">
        <f t="shared" si="1"/>
        <v>33364.306081931667</v>
      </c>
      <c r="J11" s="114">
        <f t="shared" si="2"/>
        <v>105717.06616581646</v>
      </c>
      <c r="K11" s="114">
        <f t="shared" si="2"/>
        <v>133457.22432772667</v>
      </c>
      <c r="L11" s="113">
        <f t="shared" si="3"/>
        <v>9.9377339351807814E-2</v>
      </c>
      <c r="M11" s="113">
        <f t="shared" si="3"/>
        <v>0.10178509671863799</v>
      </c>
    </row>
    <row r="12" spans="2:249" ht="15" customHeight="1">
      <c r="B12" s="92" t="str">
        <f>'Base Passo Fundo'!B14</f>
        <v>APS Getúlio Vargas</v>
      </c>
      <c r="C12" s="108">
        <f>VLOOKUP(B12,Unidades!$D$5:$G$23,4,)</f>
        <v>0.03</v>
      </c>
      <c r="D12" s="109">
        <f>'Base Passo Fundo'!AD14*12+'Base Passo Fundo'!AE14*4+'Base Passo Fundo'!AF14*2+'Base Passo Fundo'!AG14</f>
        <v>10432.116772806658</v>
      </c>
      <c r="E12" s="109">
        <f>'Base Passo Fundo'!AK14*12+'Base Passo Fundo'!AL14*4+'Base Passo Fundo'!AM14*2+'Base Passo Fundo'!AN14</f>
        <v>12887.837061125343</v>
      </c>
      <c r="G12" s="8"/>
    </row>
    <row r="13" spans="2:249" s="7" customFormat="1" ht="15" customHeight="1">
      <c r="B13" s="92" t="str">
        <f>'Base Passo Fundo'!B15</f>
        <v>APS Guaporé</v>
      </c>
      <c r="C13" s="108">
        <f>VLOOKUP(B13,Unidades!$D$5:$G$23,4,)</f>
        <v>0.02</v>
      </c>
      <c r="D13" s="109">
        <f>'Base Passo Fundo'!AD15*12+'Base Passo Fundo'!AE15*4+'Base Passo Fundo'!AF15*2+'Base Passo Fundo'!AG15</f>
        <v>12591.039880164531</v>
      </c>
      <c r="E13" s="109">
        <f>'Base Passo Fundo'!AK15*12+'Base Passo Fundo'!AL15*4+'Base Passo Fundo'!AM15*2+'Base Passo Fundo'!AN15</f>
        <v>15390.028045525107</v>
      </c>
      <c r="G13" s="111" t="s">
        <v>80</v>
      </c>
      <c r="H13" s="117">
        <f t="shared" ref="H13:M13" si="4">SUM(H5:H11)</f>
        <v>265948.62283333339</v>
      </c>
      <c r="I13" s="117">
        <f t="shared" si="4"/>
        <v>327791.6626061651</v>
      </c>
      <c r="J13" s="117">
        <f t="shared" si="4"/>
        <v>1063794.4913333335</v>
      </c>
      <c r="K13" s="117">
        <f t="shared" si="4"/>
        <v>1311166.6504246604</v>
      </c>
      <c r="L13" s="118">
        <f t="shared" si="4"/>
        <v>0.99999999999999989</v>
      </c>
      <c r="M13" s="118">
        <f t="shared" si="4"/>
        <v>0.99999999999999989</v>
      </c>
      <c r="IO13"/>
    </row>
    <row r="14" spans="2:249" s="7" customFormat="1" ht="15" customHeight="1">
      <c r="B14" s="92" t="str">
        <f>'Base Passo Fundo'!B16</f>
        <v>APS Lagoa Vermelha</v>
      </c>
      <c r="C14" s="108">
        <f>VLOOKUP(B14,Unidades!$D$5:$G$23,4,)</f>
        <v>0.03</v>
      </c>
      <c r="D14" s="109">
        <f>'Base Passo Fundo'!AD16*12+'Base Passo Fundo'!AE16*4+'Base Passo Fundo'!AF16*2+'Base Passo Fundo'!AG16</f>
        <v>14589.31258596443</v>
      </c>
      <c r="E14" s="109">
        <f>'Base Passo Fundo'!AK16*12+'Base Passo Fundo'!AL16*4+'Base Passo Fundo'!AM16*2+'Base Passo Fundo'!AN16</f>
        <v>18023.636768700457</v>
      </c>
      <c r="IO14"/>
    </row>
    <row r="15" spans="2:249" s="7" customFormat="1" ht="15" customHeight="1">
      <c r="B15" s="92" t="str">
        <f>'Base Passo Fundo'!B17</f>
        <v>APS Marau</v>
      </c>
      <c r="C15" s="108">
        <f>VLOOKUP(B15,Unidades!$D$5:$G$23,4,)</f>
        <v>0.03</v>
      </c>
      <c r="D15" s="109">
        <f>'Base Passo Fundo'!AD17*12+'Base Passo Fundo'!AE17*4+'Base Passo Fundo'!AF17*2+'Base Passo Fundo'!AG17</f>
        <v>11512.075372156351</v>
      </c>
      <c r="E15" s="109">
        <f>'Base Passo Fundo'!AK17*12+'Base Passo Fundo'!AL17*4+'Base Passo Fundo'!AM17*2+'Base Passo Fundo'!AN17</f>
        <v>14222.017914761955</v>
      </c>
      <c r="IO15"/>
    </row>
    <row r="16" spans="2:249" s="7" customFormat="1" ht="15" customHeight="1">
      <c r="B16" s="92" t="str">
        <f>'Base Passo Fundo'!B18</f>
        <v>APS Sarandi</v>
      </c>
      <c r="C16" s="108">
        <f>VLOOKUP(B16,Unidades!$D$5:$G$23,4,)</f>
        <v>0.05</v>
      </c>
      <c r="D16" s="109">
        <f>'Base Passo Fundo'!AD18*12+'Base Passo Fundo'!AE18*4+'Base Passo Fundo'!AF18*2+'Base Passo Fundo'!AG18</f>
        <v>11730.486439473323</v>
      </c>
      <c r="E16" s="109">
        <f>'Base Passo Fundo'!AK18*12+'Base Passo Fundo'!AL18*4+'Base Passo Fundo'!AM18*2+'Base Passo Fundo'!AN18</f>
        <v>14808.56608119112</v>
      </c>
      <c r="IO16"/>
    </row>
    <row r="17" spans="2:249" s="7" customFormat="1" ht="15" customHeight="1">
      <c r="B17" s="92" t="str">
        <f>'Base Passo Fundo'!B19</f>
        <v>APS Serafina Corrêa</v>
      </c>
      <c r="C17" s="108">
        <f>VLOOKUP(B17,Unidades!$D$5:$G$23,4,)</f>
        <v>2.5000000000000001E-2</v>
      </c>
      <c r="D17" s="109">
        <f>'Base Passo Fundo'!AD19*12+'Base Passo Fundo'!AE19*4+'Base Passo Fundo'!AF19*2+'Base Passo Fundo'!AG19</f>
        <v>12208.601788823018</v>
      </c>
      <c r="E17" s="109">
        <f>'Base Passo Fundo'!AK19*12+'Base Passo Fundo'!AL19*4+'Base Passo Fundo'!AM19*2+'Base Passo Fundo'!AN19</f>
        <v>15001.929878105726</v>
      </c>
      <c r="IO17"/>
    </row>
    <row r="18" spans="2:249" s="7" customFormat="1" ht="15" customHeight="1">
      <c r="B18" s="92" t="str">
        <f>'Base Passo Fundo'!B20</f>
        <v>APS Soledade</v>
      </c>
      <c r="C18" s="108">
        <f>VLOOKUP(B18,Unidades!$D$5:$G$23,4,)</f>
        <v>0.02</v>
      </c>
      <c r="D18" s="109">
        <f>'Base Passo Fundo'!AD20*12+'Base Passo Fundo'!AE20*4+'Base Passo Fundo'!AF20*2+'Base Passo Fundo'!AG20</f>
        <v>16562.706126005334</v>
      </c>
      <c r="E18" s="109">
        <f>'Base Passo Fundo'!AK20*12+'Base Passo Fundo'!AL20*4+'Base Passo Fundo'!AM20*2+'Base Passo Fundo'!AN20</f>
        <v>20244.595697816316</v>
      </c>
      <c r="IO18"/>
    </row>
    <row r="19" spans="2:249" s="7" customFormat="1" ht="15" customHeight="1">
      <c r="B19" s="92" t="str">
        <f>'Base Passo Fundo'!B21</f>
        <v>GEX/APS Passo Fundo</v>
      </c>
      <c r="C19" s="108">
        <f>VLOOKUP(B19,Unidades!$D$5:$G$23,4,)</f>
        <v>0.02</v>
      </c>
      <c r="D19" s="109">
        <f>'Base Passo Fundo'!AD21*12+'Base Passo Fundo'!AE21*4+'Base Passo Fundo'!AF21*2+'Base Passo Fundo'!AG21</f>
        <v>19809.250978296339</v>
      </c>
      <c r="E19" s="109">
        <f>'Base Passo Fundo'!AK21*12+'Base Passo Fundo'!AL21*4+'Base Passo Fundo'!AM21*2+'Base Passo Fundo'!AN21</f>
        <v>24212.847470771612</v>
      </c>
      <c r="IO19"/>
    </row>
    <row r="20" spans="2:249" s="7" customFormat="1" ht="15" customHeight="1">
      <c r="B20" s="92" t="str">
        <f>'Base Passo Fundo'!B22</f>
        <v>APS Candelária</v>
      </c>
      <c r="C20" s="108">
        <f>VLOOKUP(B20,Unidades!$D$5:$G$23,4,)</f>
        <v>0.02</v>
      </c>
      <c r="D20" s="109">
        <f>'Base Passo Fundo'!AD22*12+'Base Passo Fundo'!AE22*4+'Base Passo Fundo'!AF22*2+'Base Passo Fundo'!AG22</f>
        <v>15811.888205489682</v>
      </c>
      <c r="E20" s="109">
        <f>'Base Passo Fundo'!AK22*12+'Base Passo Fundo'!AL22*4+'Base Passo Fundo'!AM22*2+'Base Passo Fundo'!AN22</f>
        <v>19326.87095357004</v>
      </c>
      <c r="IO20"/>
    </row>
    <row r="21" spans="2:249" s="7" customFormat="1" ht="15" customHeight="1">
      <c r="B21" s="92" t="str">
        <f>'Base Passo Fundo'!B23</f>
        <v>APS Santa Cruz do Sul</v>
      </c>
      <c r="C21" s="108">
        <f>VLOOKUP(B21,Unidades!$D$5:$G$23,4,)</f>
        <v>0.02</v>
      </c>
      <c r="D21" s="109">
        <f>'Base Passo Fundo'!AD23*12+'Base Passo Fundo'!AE23*4+'Base Passo Fundo'!AF23*2+'Base Passo Fundo'!AG23</f>
        <v>18926.886851980791</v>
      </c>
      <c r="E21" s="109">
        <f>'Base Passo Fundo'!AK23*12+'Base Passo Fundo'!AL23*4+'Base Passo Fundo'!AM23*2+'Base Passo Fundo'!AN23</f>
        <v>23134.333799176118</v>
      </c>
      <c r="IO21"/>
    </row>
    <row r="22" spans="2:249" s="67" customFormat="1" ht="15" customHeight="1">
      <c r="B22" s="92" t="str">
        <f>'Base Passo Fundo'!B24</f>
        <v>APS Sobradinho</v>
      </c>
      <c r="C22" s="108">
        <f>VLOOKUP(B22,Unidades!$D$5:$G$23,4,)</f>
        <v>2.5000000000000001E-2</v>
      </c>
      <c r="D22" s="109">
        <f>'Base Passo Fundo'!AD24*12+'Base Passo Fundo'!AE24*4+'Base Passo Fundo'!AF24*2+'Base Passo Fundo'!AG24</f>
        <v>14463.423522806657</v>
      </c>
      <c r="E22" s="109">
        <f>'Base Passo Fundo'!AK24*12+'Base Passo Fundo'!AL24*4+'Base Passo Fundo'!AM24*2+'Base Passo Fundo'!AN24</f>
        <v>17772.654824824818</v>
      </c>
    </row>
    <row r="23" spans="2:249" s="7" customFormat="1" ht="15" customHeight="1">
      <c r="B23" s="92" t="str">
        <f>'Base Passo Fundo'!B25</f>
        <v>APS Venâncio Aires</v>
      </c>
      <c r="C23" s="108">
        <f>VLOOKUP(B23,Unidades!$D$5:$G$23,4,)</f>
        <v>0.03</v>
      </c>
      <c r="D23" s="109">
        <f>'Base Passo Fundo'!AD25*12+'Base Passo Fundo'!AE25*4+'Base Passo Fundo'!AF25*2+'Base Passo Fundo'!AG25</f>
        <v>16008.688205489681</v>
      </c>
      <c r="E23" s="109">
        <f>'Base Passo Fundo'!AK25*12+'Base Passo Fundo'!AL25*4+'Base Passo Fundo'!AM25*2+'Base Passo Fundo'!AN25</f>
        <v>19777.133409061953</v>
      </c>
      <c r="IO23"/>
    </row>
    <row r="24" spans="2:249" ht="15">
      <c r="B24" s="322" t="s">
        <v>80</v>
      </c>
      <c r="C24" s="322"/>
      <c r="D24" s="116">
        <f>SUM(D5:D23)</f>
        <v>265948.62283333333</v>
      </c>
      <c r="E24" s="116">
        <f>SUM(E5:E23)</f>
        <v>327791.6626061651</v>
      </c>
    </row>
  </sheetData>
  <mergeCells count="2">
    <mergeCell ref="B2:M2"/>
    <mergeCell ref="B24:C24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31"/>
  <sheetViews>
    <sheetView showGridLines="0" zoomScale="110" zoomScaleNormal="110" workbookViewId="0">
      <selection activeCell="J6" sqref="J6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08" t="str">
        <f>"PLANILHA RESUMO "&amp;'Valor da Contratação'!B7&amp;""</f>
        <v>PLANILHA RESUMO POLO IX</v>
      </c>
      <c r="C2" s="209"/>
      <c r="D2" s="209"/>
      <c r="E2" s="209"/>
      <c r="F2" s="209"/>
      <c r="G2" s="209"/>
      <c r="H2" s="209"/>
      <c r="I2" s="210"/>
      <c r="J2" s="119"/>
    </row>
    <row r="3" spans="2:250" ht="15" customHeight="1">
      <c r="B3" s="5"/>
      <c r="H3" s="5"/>
      <c r="I3" s="9"/>
    </row>
    <row r="4" spans="2:250" ht="46.5" customHeight="1">
      <c r="B4" s="10" t="s">
        <v>9</v>
      </c>
      <c r="C4" s="10" t="s">
        <v>10</v>
      </c>
      <c r="D4" s="10" t="s">
        <v>11</v>
      </c>
      <c r="E4" s="10" t="s">
        <v>12</v>
      </c>
      <c r="F4" s="10" t="s">
        <v>13</v>
      </c>
      <c r="G4" s="10" t="s">
        <v>14</v>
      </c>
      <c r="H4" s="10" t="s">
        <v>15</v>
      </c>
      <c r="I4" s="10" t="s">
        <v>16</v>
      </c>
    </row>
    <row r="5" spans="2:250" ht="20.100000000000001" customHeight="1">
      <c r="B5" s="88" t="s">
        <v>193</v>
      </c>
      <c r="C5" s="12">
        <f>'Base Passo Fundo'!C26</f>
        <v>24888.929999999997</v>
      </c>
      <c r="D5" s="6">
        <f>'Base Passo Fundo'!AT10</f>
        <v>27315.971883847091</v>
      </c>
      <c r="E5" s="6">
        <f>D5*12</f>
        <v>327791.6626061651</v>
      </c>
      <c r="F5" s="6">
        <f>'Base Passo Fundo'!AT12</f>
        <v>81947.915651541276</v>
      </c>
      <c r="G5" s="6">
        <f>F5*12</f>
        <v>983374.98781849537</v>
      </c>
      <c r="H5" s="6">
        <f>D5+F5</f>
        <v>109263.88753538836</v>
      </c>
      <c r="I5" s="6">
        <f>H5*12</f>
        <v>1311166.6504246604</v>
      </c>
    </row>
    <row r="6" spans="2:250" ht="20.100000000000001" customHeight="1">
      <c r="B6" s="13" t="str">
        <f>"TOTAL "&amp;'Valor da Contratação'!B7&amp;""</f>
        <v>TOTAL POLO IX</v>
      </c>
      <c r="C6" s="14">
        <f t="shared" ref="C6:I6" si="0">SUM(C5:C5)</f>
        <v>24888.929999999997</v>
      </c>
      <c r="D6" s="15">
        <f t="shared" si="0"/>
        <v>27315.971883847091</v>
      </c>
      <c r="E6" s="15">
        <f t="shared" si="0"/>
        <v>327791.6626061651</v>
      </c>
      <c r="F6" s="15">
        <f t="shared" si="0"/>
        <v>81947.915651541276</v>
      </c>
      <c r="G6" s="15">
        <f t="shared" si="0"/>
        <v>983374.98781849537</v>
      </c>
      <c r="H6" s="15">
        <f t="shared" si="0"/>
        <v>109263.88753538836</v>
      </c>
      <c r="I6" s="15">
        <f t="shared" si="0"/>
        <v>1311166.6504246604</v>
      </c>
    </row>
    <row r="7" spans="2:250" ht="24.95" customHeight="1">
      <c r="B7" s="5"/>
      <c r="C7" s="5"/>
      <c r="D7" s="5"/>
      <c r="E7" s="5"/>
      <c r="F7" s="5"/>
      <c r="G7" s="16"/>
      <c r="H7" s="5"/>
      <c r="I7" s="9"/>
    </row>
    <row r="8" spans="2:250" s="17" customFormat="1" ht="27.2" customHeight="1">
      <c r="B8" s="211" t="str">
        <f>"BASE "&amp;B5</f>
        <v>BASE PASSO FUNDO</v>
      </c>
      <c r="C8" s="212" t="s">
        <v>17</v>
      </c>
      <c r="D8" s="212"/>
      <c r="E8" s="212"/>
      <c r="F8" s="212" t="s">
        <v>18</v>
      </c>
      <c r="G8" s="212"/>
      <c r="H8" s="212"/>
      <c r="I8" s="71" t="s">
        <v>19</v>
      </c>
      <c r="IP8" s="18"/>
    </row>
    <row r="9" spans="2:250" s="17" customFormat="1" ht="22.7" customHeight="1">
      <c r="B9" s="211"/>
      <c r="C9" s="72" t="s">
        <v>20</v>
      </c>
      <c r="D9" s="72" t="s">
        <v>21</v>
      </c>
      <c r="E9" s="72" t="s">
        <v>22</v>
      </c>
      <c r="F9" s="73" t="s">
        <v>20</v>
      </c>
      <c r="G9" s="73" t="s">
        <v>21</v>
      </c>
      <c r="H9" s="73" t="s">
        <v>22</v>
      </c>
      <c r="I9" s="73" t="s">
        <v>23</v>
      </c>
      <c r="IP9" s="18"/>
    </row>
    <row r="10" spans="2:250" ht="17.100000000000001" customHeight="1">
      <c r="B10" s="88" t="str">
        <f>'Base Passo Fundo'!B7</f>
        <v>APS Nova Prata</v>
      </c>
      <c r="C10" s="6">
        <f>'Base Passo Fundo'!AO7</f>
        <v>1177.9856538437787</v>
      </c>
      <c r="D10" s="6">
        <f t="shared" ref="D10:D26" si="1">C10*3</f>
        <v>3533.9569615313358</v>
      </c>
      <c r="E10" s="6">
        <f t="shared" ref="E10:E26" si="2">C10+D10</f>
        <v>4711.9426153751147</v>
      </c>
      <c r="F10" s="6">
        <f t="shared" ref="F10:F26" si="3">C10*12</f>
        <v>14135.827846125343</v>
      </c>
      <c r="G10" s="6">
        <f t="shared" ref="G10:G26" si="4">F10*3</f>
        <v>42407.483538376029</v>
      </c>
      <c r="H10" s="6">
        <f t="shared" ref="H10:H26" si="5">F10+G10</f>
        <v>56543.311384501372</v>
      </c>
      <c r="I10" s="20">
        <f t="shared" ref="I10:I28" si="6">F10/$E$6</f>
        <v>4.3124427673772919E-2</v>
      </c>
    </row>
    <row r="11" spans="2:250" ht="17.100000000000001" customHeight="1">
      <c r="B11" s="88" t="str">
        <f>'Base Passo Fundo'!B8</f>
        <v>APS Vacaria</v>
      </c>
      <c r="C11" s="6">
        <f>'Base Passo Fundo'!AO8</f>
        <v>1486.0430644853604</v>
      </c>
      <c r="D11" s="6">
        <f t="shared" si="1"/>
        <v>4458.1291934560813</v>
      </c>
      <c r="E11" s="6">
        <f t="shared" si="2"/>
        <v>5944.1722579414418</v>
      </c>
      <c r="F11" s="6">
        <f t="shared" si="3"/>
        <v>17832.516773824325</v>
      </c>
      <c r="G11" s="6">
        <f t="shared" si="4"/>
        <v>53497.550321472976</v>
      </c>
      <c r="H11" s="6">
        <f t="shared" si="5"/>
        <v>71330.067095297301</v>
      </c>
      <c r="I11" s="20">
        <f t="shared" si="6"/>
        <v>5.4401983967632898E-2</v>
      </c>
    </row>
    <row r="12" spans="2:250" ht="17.100000000000001" customHeight="1">
      <c r="B12" s="88" t="str">
        <f>'Base Passo Fundo'!B9</f>
        <v>APS Veranópolis</v>
      </c>
      <c r="C12" s="6">
        <f>'Base Passo Fundo'!AO9</f>
        <v>1316.8100929259963</v>
      </c>
      <c r="D12" s="6">
        <f t="shared" si="1"/>
        <v>3950.4302787779889</v>
      </c>
      <c r="E12" s="6">
        <f t="shared" si="2"/>
        <v>5267.2403717039851</v>
      </c>
      <c r="F12" s="6">
        <f t="shared" si="3"/>
        <v>15801.721115111955</v>
      </c>
      <c r="G12" s="6">
        <f t="shared" si="4"/>
        <v>47405.163345335866</v>
      </c>
      <c r="H12" s="6">
        <f t="shared" si="5"/>
        <v>63206.884460447822</v>
      </c>
      <c r="I12" s="20">
        <f t="shared" si="6"/>
        <v>4.820659863486948E-2</v>
      </c>
    </row>
    <row r="13" spans="2:250" ht="17.100000000000001" customHeight="1">
      <c r="B13" s="88" t="str">
        <f>'Base Passo Fundo'!B10</f>
        <v>APS Carazinho</v>
      </c>
      <c r="C13" s="6">
        <f>'Base Passo Fundo'!AO10</f>
        <v>1623.7908644889158</v>
      </c>
      <c r="D13" s="6">
        <f t="shared" si="1"/>
        <v>4871.3725934667473</v>
      </c>
      <c r="E13" s="6">
        <f t="shared" si="2"/>
        <v>6495.163457955663</v>
      </c>
      <c r="F13" s="6">
        <f t="shared" si="3"/>
        <v>19485.490373866989</v>
      </c>
      <c r="G13" s="6">
        <f t="shared" si="4"/>
        <v>58456.471121600967</v>
      </c>
      <c r="H13" s="6">
        <f t="shared" si="5"/>
        <v>77941.961495467956</v>
      </c>
      <c r="I13" s="20">
        <f t="shared" si="6"/>
        <v>5.9444740659186326E-2</v>
      </c>
    </row>
    <row r="14" spans="2:250" ht="17.100000000000001" customHeight="1">
      <c r="B14" s="88" t="str">
        <f>'Base Passo Fundo'!B11</f>
        <v>APS Casca</v>
      </c>
      <c r="C14" s="6">
        <f>'Base Passo Fundo'!AO11</f>
        <v>1172.6008106155589</v>
      </c>
      <c r="D14" s="6">
        <f t="shared" si="1"/>
        <v>3517.8024318466769</v>
      </c>
      <c r="E14" s="6">
        <f t="shared" si="2"/>
        <v>4690.4032424622355</v>
      </c>
      <c r="F14" s="6">
        <f t="shared" si="3"/>
        <v>14071.209727386708</v>
      </c>
      <c r="G14" s="6">
        <f t="shared" si="4"/>
        <v>42213.629182160119</v>
      </c>
      <c r="H14" s="6">
        <f t="shared" si="5"/>
        <v>56284.83890954683</v>
      </c>
      <c r="I14" s="20">
        <f t="shared" si="6"/>
        <v>4.2927296001097424E-2</v>
      </c>
    </row>
    <row r="15" spans="2:250" ht="17.100000000000001" customHeight="1">
      <c r="B15" s="88" t="str">
        <f>'Base Passo Fundo'!B12</f>
        <v>APS Erechim</v>
      </c>
      <c r="C15" s="6">
        <f>'Base Passo Fundo'!AO12</f>
        <v>1546.3116667283791</v>
      </c>
      <c r="D15" s="6">
        <f t="shared" si="1"/>
        <v>4638.9350001851371</v>
      </c>
      <c r="E15" s="6">
        <f t="shared" si="2"/>
        <v>6185.2466669135165</v>
      </c>
      <c r="F15" s="6">
        <f t="shared" si="3"/>
        <v>18555.740000740549</v>
      </c>
      <c r="G15" s="6">
        <f t="shared" si="4"/>
        <v>55667.220002221642</v>
      </c>
      <c r="H15" s="6">
        <f t="shared" si="5"/>
        <v>74222.960002962194</v>
      </c>
      <c r="I15" s="20">
        <f t="shared" si="6"/>
        <v>5.6608334248680649E-2</v>
      </c>
    </row>
    <row r="16" spans="2:250" ht="17.100000000000001" customHeight="1">
      <c r="B16" s="88" t="str">
        <f>'Base Passo Fundo'!B13</f>
        <v>APS Espumoso</v>
      </c>
      <c r="C16" s="6">
        <f>'Base Passo Fundo'!AO13</f>
        <v>1092.2254053732224</v>
      </c>
      <c r="D16" s="6">
        <f t="shared" si="1"/>
        <v>3276.6762161196675</v>
      </c>
      <c r="E16" s="6">
        <f t="shared" si="2"/>
        <v>4368.9016214928897</v>
      </c>
      <c r="F16" s="6">
        <f t="shared" si="3"/>
        <v>13106.70486447867</v>
      </c>
      <c r="G16" s="6">
        <f t="shared" si="4"/>
        <v>39320.11459343601</v>
      </c>
      <c r="H16" s="6">
        <f t="shared" si="5"/>
        <v>52426.81945791468</v>
      </c>
      <c r="I16" s="20">
        <f t="shared" si="6"/>
        <v>3.9984863435120692E-2</v>
      </c>
    </row>
    <row r="17" spans="2:9" ht="17.100000000000001" customHeight="1">
      <c r="B17" s="88" t="str">
        <f>'Base Passo Fundo'!B14</f>
        <v>APS Getúlio Vargas</v>
      </c>
      <c r="C17" s="6">
        <f>'Base Passo Fundo'!AO14</f>
        <v>1073.9864217604452</v>
      </c>
      <c r="D17" s="6">
        <f t="shared" si="1"/>
        <v>3221.9592652813353</v>
      </c>
      <c r="E17" s="6">
        <f t="shared" si="2"/>
        <v>4295.9456870417807</v>
      </c>
      <c r="F17" s="6">
        <f t="shared" si="3"/>
        <v>12887.837061125341</v>
      </c>
      <c r="G17" s="6">
        <f t="shared" si="4"/>
        <v>38663.511183376024</v>
      </c>
      <c r="H17" s="6">
        <f t="shared" si="5"/>
        <v>51551.348244501365</v>
      </c>
      <c r="I17" s="20">
        <f t="shared" si="6"/>
        <v>3.9317159437974515E-2</v>
      </c>
    </row>
    <row r="18" spans="2:9" ht="17.100000000000001" customHeight="1">
      <c r="B18" s="88" t="str">
        <f>'Base Passo Fundo'!B15</f>
        <v>APS Guaporé</v>
      </c>
      <c r="C18" s="6">
        <f>'Base Passo Fundo'!AO15</f>
        <v>1282.5023371270922</v>
      </c>
      <c r="D18" s="6">
        <f t="shared" si="1"/>
        <v>3847.5070113812767</v>
      </c>
      <c r="E18" s="6">
        <f t="shared" si="2"/>
        <v>5130.0093485083689</v>
      </c>
      <c r="F18" s="6">
        <f t="shared" si="3"/>
        <v>15390.028045525107</v>
      </c>
      <c r="G18" s="6">
        <f t="shared" si="4"/>
        <v>46170.084136575322</v>
      </c>
      <c r="H18" s="6">
        <f t="shared" si="5"/>
        <v>61560.112182100427</v>
      </c>
      <c r="I18" s="20">
        <f t="shared" si="6"/>
        <v>4.6950639083264016E-2</v>
      </c>
    </row>
    <row r="19" spans="2:9" ht="17.100000000000001" customHeight="1">
      <c r="B19" s="88" t="str">
        <f>'Base Passo Fundo'!B16</f>
        <v>APS Lagoa Vermelha</v>
      </c>
      <c r="C19" s="6">
        <f>'Base Passo Fundo'!AO16</f>
        <v>1501.9697307250381</v>
      </c>
      <c r="D19" s="6">
        <f t="shared" si="1"/>
        <v>4505.9091921751142</v>
      </c>
      <c r="E19" s="6">
        <f t="shared" si="2"/>
        <v>6007.8789229001522</v>
      </c>
      <c r="F19" s="6">
        <f t="shared" si="3"/>
        <v>18023.636768700457</v>
      </c>
      <c r="G19" s="6">
        <f t="shared" si="4"/>
        <v>54070.910306101374</v>
      </c>
      <c r="H19" s="6">
        <f t="shared" si="5"/>
        <v>72094.547074801827</v>
      </c>
      <c r="I19" s="20">
        <f t="shared" si="6"/>
        <v>5.4985037219679025E-2</v>
      </c>
    </row>
    <row r="20" spans="2:9" ht="17.100000000000001" customHeight="1">
      <c r="B20" s="88" t="str">
        <f>'Base Passo Fundo'!B17</f>
        <v>APS Marau</v>
      </c>
      <c r="C20" s="6">
        <f>'Base Passo Fundo'!AO17</f>
        <v>1185.1681595634961</v>
      </c>
      <c r="D20" s="6">
        <f t="shared" si="1"/>
        <v>3555.5044786904882</v>
      </c>
      <c r="E20" s="6">
        <f t="shared" si="2"/>
        <v>4740.6726382539846</v>
      </c>
      <c r="F20" s="6">
        <f t="shared" si="3"/>
        <v>14222.017914761953</v>
      </c>
      <c r="G20" s="6">
        <f t="shared" si="4"/>
        <v>42666.053744285862</v>
      </c>
      <c r="H20" s="6">
        <f t="shared" si="5"/>
        <v>56888.071659047811</v>
      </c>
      <c r="I20" s="20">
        <f t="shared" si="6"/>
        <v>4.3387369287209154E-2</v>
      </c>
    </row>
    <row r="21" spans="2:9" ht="17.100000000000001" customHeight="1">
      <c r="B21" s="88" t="str">
        <f>'Base Passo Fundo'!B18</f>
        <v>APS Sarandi</v>
      </c>
      <c r="C21" s="6">
        <f>'Base Passo Fundo'!AO18</f>
        <v>1234.0471734325934</v>
      </c>
      <c r="D21" s="6">
        <f t="shared" si="1"/>
        <v>3702.1415202977801</v>
      </c>
      <c r="E21" s="6">
        <f t="shared" si="2"/>
        <v>4936.1886937303734</v>
      </c>
      <c r="F21" s="6">
        <f t="shared" si="3"/>
        <v>14808.56608119112</v>
      </c>
      <c r="G21" s="6">
        <f t="shared" si="4"/>
        <v>44425.698243573359</v>
      </c>
      <c r="H21" s="6">
        <f t="shared" si="5"/>
        <v>59234.264324764481</v>
      </c>
      <c r="I21" s="20">
        <f t="shared" si="6"/>
        <v>4.5176762469957346E-2</v>
      </c>
    </row>
    <row r="22" spans="2:9" ht="17.100000000000001" customHeight="1">
      <c r="B22" s="88" t="str">
        <f>'Base Passo Fundo'!B19</f>
        <v>APS Serafina Corrêa</v>
      </c>
      <c r="C22" s="6">
        <f>'Base Passo Fundo'!AO19</f>
        <v>1250.1608231754772</v>
      </c>
      <c r="D22" s="6">
        <f t="shared" si="1"/>
        <v>3750.4824695264315</v>
      </c>
      <c r="E22" s="6">
        <f t="shared" si="2"/>
        <v>5000.6432927019086</v>
      </c>
      <c r="F22" s="6">
        <f t="shared" si="3"/>
        <v>15001.929878105726</v>
      </c>
      <c r="G22" s="6">
        <f t="shared" si="4"/>
        <v>45005.789634317174</v>
      </c>
      <c r="H22" s="6">
        <f t="shared" si="5"/>
        <v>60007.719512422904</v>
      </c>
      <c r="I22" s="20">
        <f t="shared" si="6"/>
        <v>4.5766660929781593E-2</v>
      </c>
    </row>
    <row r="23" spans="2:9" ht="17.100000000000001" customHeight="1">
      <c r="B23" s="88" t="str">
        <f>'Base Passo Fundo'!B20</f>
        <v>APS Soledade</v>
      </c>
      <c r="C23" s="6">
        <f>'Base Passo Fundo'!AO20</f>
        <v>1687.049641484693</v>
      </c>
      <c r="D23" s="6">
        <f t="shared" si="1"/>
        <v>5061.148924454079</v>
      </c>
      <c r="E23" s="6">
        <f t="shared" si="2"/>
        <v>6748.1985659387719</v>
      </c>
      <c r="F23" s="6">
        <f t="shared" si="3"/>
        <v>20244.595697816316</v>
      </c>
      <c r="G23" s="6">
        <f t="shared" si="4"/>
        <v>60733.787093448947</v>
      </c>
      <c r="H23" s="6">
        <f t="shared" si="5"/>
        <v>80978.382791265263</v>
      </c>
      <c r="I23" s="20">
        <f t="shared" si="6"/>
        <v>6.1760557107700995E-2</v>
      </c>
    </row>
    <row r="24" spans="2:9" ht="17.100000000000001" customHeight="1">
      <c r="B24" s="88" t="str">
        <f>'Base Passo Fundo'!B21</f>
        <v>GEX/APS Passo Fundo</v>
      </c>
      <c r="C24" s="6">
        <f>'Base Passo Fundo'!AO21</f>
        <v>2017.7372892309677</v>
      </c>
      <c r="D24" s="6">
        <f t="shared" si="1"/>
        <v>6053.2118676929031</v>
      </c>
      <c r="E24" s="6">
        <f t="shared" si="2"/>
        <v>8070.9491569238708</v>
      </c>
      <c r="F24" s="6">
        <f t="shared" si="3"/>
        <v>24212.847470771612</v>
      </c>
      <c r="G24" s="6">
        <f t="shared" si="4"/>
        <v>72638.54241231484</v>
      </c>
      <c r="H24" s="6">
        <f t="shared" si="5"/>
        <v>96851.389883086449</v>
      </c>
      <c r="I24" s="20">
        <f t="shared" si="6"/>
        <v>7.3866575123549882E-2</v>
      </c>
    </row>
    <row r="25" spans="2:9" ht="17.100000000000001" customHeight="1">
      <c r="B25" s="88" t="str">
        <f>'Base Passo Fundo'!B22</f>
        <v>APS Candelária</v>
      </c>
      <c r="C25" s="6">
        <f>'Base Passo Fundo'!AO22</f>
        <v>1610.5725794641701</v>
      </c>
      <c r="D25" s="6">
        <f t="shared" si="1"/>
        <v>4831.71773839251</v>
      </c>
      <c r="E25" s="6">
        <f t="shared" si="2"/>
        <v>6442.2903178566803</v>
      </c>
      <c r="F25" s="6">
        <f t="shared" si="3"/>
        <v>19326.87095357004</v>
      </c>
      <c r="G25" s="6">
        <f t="shared" si="4"/>
        <v>57980.61286071012</v>
      </c>
      <c r="H25" s="6">
        <f t="shared" si="5"/>
        <v>77307.48381428016</v>
      </c>
      <c r="I25" s="20">
        <f t="shared" si="6"/>
        <v>5.8960837502419566E-2</v>
      </c>
    </row>
    <row r="26" spans="2:9" ht="17.100000000000001" customHeight="1">
      <c r="B26" s="88" t="str">
        <f>'Base Passo Fundo'!B23</f>
        <v>APS Santa Cruz do Sul</v>
      </c>
      <c r="C26" s="6">
        <f>'Base Passo Fundo'!AO23</f>
        <v>1927.8611499313431</v>
      </c>
      <c r="D26" s="6">
        <f t="shared" si="1"/>
        <v>5783.5834497940295</v>
      </c>
      <c r="E26" s="6">
        <f t="shared" si="2"/>
        <v>7711.4445997253724</v>
      </c>
      <c r="F26" s="6">
        <f t="shared" si="3"/>
        <v>23134.333799176118</v>
      </c>
      <c r="G26" s="6">
        <f t="shared" si="4"/>
        <v>69403.001397528351</v>
      </c>
      <c r="H26" s="6">
        <f t="shared" si="5"/>
        <v>92537.335196704473</v>
      </c>
      <c r="I26" s="20">
        <f t="shared" si="6"/>
        <v>7.0576333806792221E-2</v>
      </c>
    </row>
    <row r="27" spans="2:9" ht="17.100000000000001" customHeight="1">
      <c r="B27" s="88" t="str">
        <f>'Base Passo Fundo'!B24</f>
        <v>APS Sobradinho</v>
      </c>
      <c r="C27" s="6">
        <f>'Base Passo Fundo'!AO24</f>
        <v>1481.0545687354015</v>
      </c>
      <c r="D27" s="6">
        <f t="shared" ref="D27:D28" si="7">C27*3</f>
        <v>4443.1637062062046</v>
      </c>
      <c r="E27" s="6">
        <f t="shared" ref="E27:E28" si="8">C27+D27</f>
        <v>5924.2182749416061</v>
      </c>
      <c r="F27" s="6">
        <f t="shared" ref="F27:F28" si="9">C27*12</f>
        <v>17772.654824824818</v>
      </c>
      <c r="G27" s="6">
        <f t="shared" ref="G27:G28" si="10">F27*3</f>
        <v>53317.964474474458</v>
      </c>
      <c r="H27" s="6">
        <f t="shared" ref="H27:H28" si="11">F27+G27</f>
        <v>71090.619299299273</v>
      </c>
      <c r="I27" s="20">
        <f t="shared" si="6"/>
        <v>5.4219362028674584E-2</v>
      </c>
    </row>
    <row r="28" spans="2:9" ht="17.100000000000001" customHeight="1">
      <c r="B28" s="88" t="str">
        <f>'Base Passo Fundo'!B25</f>
        <v>APS Venâncio Aires</v>
      </c>
      <c r="C28" s="6">
        <f>'Base Passo Fundo'!AO25</f>
        <v>1648.0944507551628</v>
      </c>
      <c r="D28" s="6">
        <f t="shared" si="7"/>
        <v>4944.2833522654882</v>
      </c>
      <c r="E28" s="6">
        <f t="shared" si="8"/>
        <v>6592.3778030206513</v>
      </c>
      <c r="F28" s="6">
        <f t="shared" si="9"/>
        <v>19777.133409061953</v>
      </c>
      <c r="G28" s="6">
        <f t="shared" si="10"/>
        <v>59331.400227185863</v>
      </c>
      <c r="H28" s="6">
        <f t="shared" si="11"/>
        <v>79108.533636247812</v>
      </c>
      <c r="I28" s="20">
        <f t="shared" si="6"/>
        <v>6.033446138263672E-2</v>
      </c>
    </row>
    <row r="29" spans="2:9" ht="22.7" customHeight="1">
      <c r="B29" s="21" t="str">
        <f>"Total Base "&amp;B5</f>
        <v>Total Base PASSO FUNDO</v>
      </c>
      <c r="C29" s="21">
        <f>SUM(C10:C28)</f>
        <v>27315.971883847091</v>
      </c>
      <c r="D29" s="21">
        <f t="shared" ref="D29:H29" si="12">SUM(D10:D28)</f>
        <v>81947.915651541276</v>
      </c>
      <c r="E29" s="21">
        <f t="shared" si="12"/>
        <v>109263.88753538836</v>
      </c>
      <c r="F29" s="21">
        <f t="shared" si="12"/>
        <v>327791.6626061651</v>
      </c>
      <c r="G29" s="21">
        <f t="shared" si="12"/>
        <v>983374.98781849514</v>
      </c>
      <c r="H29" s="21">
        <f t="shared" si="12"/>
        <v>1311166.6504246604</v>
      </c>
      <c r="I29" s="22">
        <f>SUM(I10:I28)</f>
        <v>1</v>
      </c>
    </row>
    <row r="30" spans="2:9" ht="22.7" customHeight="1">
      <c r="B30" s="23"/>
      <c r="C30" s="23"/>
      <c r="D30" s="23"/>
      <c r="E30" s="23"/>
      <c r="F30" s="23"/>
      <c r="G30" s="23"/>
      <c r="H30" s="23"/>
      <c r="I30" s="24"/>
    </row>
    <row r="31" spans="2:9" ht="22.7" customHeight="1">
      <c r="B31" s="19"/>
      <c r="C31" s="23"/>
      <c r="D31" s="23"/>
      <c r="E31" s="23"/>
      <c r="F31" s="23"/>
      <c r="G31" s="23"/>
      <c r="H31" s="23"/>
      <c r="I31" s="24"/>
    </row>
  </sheetData>
  <mergeCells count="4">
    <mergeCell ref="B2:I2"/>
    <mergeCell ref="B8:B9"/>
    <mergeCell ref="C8:E8"/>
    <mergeCell ref="F8:H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13" t="str">
        <f>"CÁLCULO DO CUSTO DA EQUIPE TÉCNICA PARA O "&amp;'Valor da Contratação'!B7&amp;""</f>
        <v>CÁLCULO DO CUSTO DA EQUIPE TÉCNICA PARA O POLO IX</v>
      </c>
      <c r="C2" s="214"/>
      <c r="D2" s="214"/>
      <c r="E2" s="215"/>
    </row>
    <row r="3" spans="2:5" ht="15" customHeight="1">
      <c r="B3" s="1"/>
      <c r="C3" s="1"/>
      <c r="D3" s="1"/>
      <c r="E3" s="1"/>
    </row>
    <row r="4" spans="2:5" ht="45.75" customHeight="1">
      <c r="B4" s="216" t="s">
        <v>24</v>
      </c>
      <c r="C4" s="83" t="s">
        <v>25</v>
      </c>
      <c r="D4" s="83" t="s">
        <v>26</v>
      </c>
      <c r="E4" s="83" t="s">
        <v>27</v>
      </c>
    </row>
    <row r="5" spans="2:5" ht="20.100000000000001" customHeight="1">
      <c r="B5" s="216"/>
      <c r="C5" s="61">
        <v>118.06</v>
      </c>
      <c r="D5" s="61">
        <f>'Comp. Eng. Eletricista'!D11</f>
        <v>125.45312499999999</v>
      </c>
      <c r="E5" s="61">
        <v>31.37</v>
      </c>
    </row>
    <row r="6" spans="2:5" ht="20.100000000000001" customHeight="1">
      <c r="B6" s="62" t="s">
        <v>28</v>
      </c>
      <c r="C6" s="151">
        <v>80</v>
      </c>
      <c r="D6" s="151">
        <v>16</v>
      </c>
      <c r="E6" s="151">
        <v>80</v>
      </c>
    </row>
    <row r="7" spans="2:5" ht="20.100000000000001" customHeight="1">
      <c r="B7" s="62" t="s">
        <v>29</v>
      </c>
      <c r="C7" s="61">
        <f>C5*C6</f>
        <v>9444.7999999999993</v>
      </c>
      <c r="D7" s="61">
        <f>D5*D6</f>
        <v>2007.2499999999998</v>
      </c>
      <c r="E7" s="61">
        <f>E5*E6</f>
        <v>2509.6</v>
      </c>
    </row>
    <row r="8" spans="2:5" ht="20.100000000000001" customHeight="1">
      <c r="B8" s="62" t="s">
        <v>30</v>
      </c>
      <c r="C8" s="61">
        <f>C5*C6*12</f>
        <v>113337.59999999999</v>
      </c>
      <c r="D8" s="61">
        <f>D5*D6*12</f>
        <v>24086.999999999996</v>
      </c>
      <c r="E8" s="61">
        <f>E5*E6*12</f>
        <v>30115.199999999997</v>
      </c>
    </row>
    <row r="9" spans="2:5" ht="20.100000000000001" customHeight="1">
      <c r="B9" s="25" t="s">
        <v>234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17" t="s">
        <v>31</v>
      </c>
      <c r="C11" s="218"/>
      <c r="E11" s="26"/>
    </row>
    <row r="12" spans="2:5" ht="20.100000000000001" customHeight="1">
      <c r="B12" s="62" t="s">
        <v>32</v>
      </c>
      <c r="C12" s="61">
        <f>SUM(C7:E7)</f>
        <v>13961.65</v>
      </c>
      <c r="E12" s="26"/>
    </row>
    <row r="13" spans="2:5" ht="20.100000000000001" customHeight="1">
      <c r="B13" s="62" t="s">
        <v>33</v>
      </c>
      <c r="C13" s="61">
        <f>SUM(C8:E8)</f>
        <v>167539.79999999999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31"/>
  <sheetViews>
    <sheetView showGridLines="0" topLeftCell="O1" zoomScale="110" zoomScaleNormal="110" workbookViewId="0">
      <selection activeCell="Z28" sqref="Z28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19" t="str">
        <f>"BASE "&amp;Resumo!B5&amp;" - PLANILHA DE FORMAÇÃO DE PREÇOS"</f>
        <v>BASE PASSO FUNDO - PLANILHA DE FORMAÇÃO DE PREÇOS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1"/>
      <c r="P2" s="2"/>
      <c r="Q2" s="213" t="str">
        <f>"BASE "&amp;Resumo!B5&amp;" – PLANILHA DE DISTRIBUIÇÃO DE CUSTOS POR UNIDADE"</f>
        <v>BASE PASSO FUNDO – PLANILHA DE DISTRIBUIÇÃO DE CUSTOS POR UNIDADE</v>
      </c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5"/>
      <c r="AH2" s="27"/>
      <c r="AI2" s="225" t="str">
        <f>"BASE "&amp;Resumo!B5&amp;" – PLANILHA RESUMO DE CUSTOS DA BASE"</f>
        <v>BASE PASSO FUNDO – PLANILHA RESUMO DE CUSTOS DA BASE</v>
      </c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7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28" t="s">
        <v>34</v>
      </c>
      <c r="C4" s="228" t="s">
        <v>35</v>
      </c>
      <c r="D4" s="228"/>
      <c r="E4" s="228"/>
      <c r="F4" s="228"/>
      <c r="G4" s="228"/>
      <c r="H4" s="228" t="s">
        <v>36</v>
      </c>
      <c r="I4" s="228"/>
      <c r="J4" s="228"/>
      <c r="K4" s="228"/>
      <c r="L4" s="228"/>
      <c r="M4" s="228"/>
      <c r="N4" s="228"/>
      <c r="O4" s="228" t="s">
        <v>22</v>
      </c>
      <c r="P4" s="2"/>
      <c r="Q4" s="228" t="s">
        <v>37</v>
      </c>
      <c r="R4" s="229" t="s">
        <v>38</v>
      </c>
      <c r="S4" s="229"/>
      <c r="T4" s="229"/>
      <c r="U4" s="229"/>
      <c r="V4" s="229" t="s">
        <v>39</v>
      </c>
      <c r="W4" s="229"/>
      <c r="X4" s="229"/>
      <c r="Y4" s="229"/>
      <c r="Z4" s="229" t="s">
        <v>40</v>
      </c>
      <c r="AA4" s="229"/>
      <c r="AB4" s="229"/>
      <c r="AC4" s="229"/>
      <c r="AD4" s="229" t="s">
        <v>41</v>
      </c>
      <c r="AE4" s="229"/>
      <c r="AF4" s="229"/>
      <c r="AG4" s="229"/>
      <c r="AI4" s="228" t="s">
        <v>37</v>
      </c>
      <c r="AJ4" s="230" t="s">
        <v>42</v>
      </c>
      <c r="AK4" s="230"/>
      <c r="AL4" s="230"/>
      <c r="AM4" s="230"/>
      <c r="AN4" s="230"/>
      <c r="AO4" s="230" t="s">
        <v>43</v>
      </c>
      <c r="AP4" s="230"/>
      <c r="AQ4" s="230"/>
      <c r="AR4" s="29"/>
      <c r="AS4" s="230" t="str">
        <f>"Resumo de Custos da Base "&amp;Resumo!B5</f>
        <v>Resumo de Custos da Base PASSO FUNDO</v>
      </c>
      <c r="AT4" s="230"/>
      <c r="AU4" s="230"/>
      <c r="AV4" s="230"/>
      <c r="AW4" s="230"/>
    </row>
    <row r="5" spans="2:49" ht="39.950000000000003" customHeight="1">
      <c r="B5" s="228"/>
      <c r="C5" s="78" t="s">
        <v>22</v>
      </c>
      <c r="D5" s="78" t="s">
        <v>44</v>
      </c>
      <c r="E5" s="78" t="s">
        <v>45</v>
      </c>
      <c r="F5" s="78" t="s">
        <v>46</v>
      </c>
      <c r="G5" s="228" t="s">
        <v>47</v>
      </c>
      <c r="H5" s="78" t="s">
        <v>48</v>
      </c>
      <c r="I5" s="78" t="s">
        <v>49</v>
      </c>
      <c r="J5" s="78" t="s">
        <v>50</v>
      </c>
      <c r="K5" s="78" t="s">
        <v>51</v>
      </c>
      <c r="L5" s="78" t="s">
        <v>52</v>
      </c>
      <c r="M5" s="78" t="s">
        <v>53</v>
      </c>
      <c r="N5" s="228" t="s">
        <v>54</v>
      </c>
      <c r="O5" s="228"/>
      <c r="P5" s="2"/>
      <c r="Q5" s="228"/>
      <c r="R5" s="78" t="s">
        <v>55</v>
      </c>
      <c r="S5" s="78" t="s">
        <v>56</v>
      </c>
      <c r="T5" s="78" t="s">
        <v>57</v>
      </c>
      <c r="U5" s="78" t="s">
        <v>58</v>
      </c>
      <c r="V5" s="228" t="s">
        <v>59</v>
      </c>
      <c r="W5" s="228" t="s">
        <v>60</v>
      </c>
      <c r="X5" s="228" t="s">
        <v>61</v>
      </c>
      <c r="Y5" s="228" t="s">
        <v>62</v>
      </c>
      <c r="Z5" s="222" t="s">
        <v>63</v>
      </c>
      <c r="AA5" s="223"/>
      <c r="AB5" s="224"/>
      <c r="AC5" s="78">
        <f>N26</f>
        <v>725.29999999999984</v>
      </c>
      <c r="AD5" s="229" t="s">
        <v>55</v>
      </c>
      <c r="AE5" s="229" t="s">
        <v>56</v>
      </c>
      <c r="AF5" s="229" t="s">
        <v>57</v>
      </c>
      <c r="AG5" s="229" t="s">
        <v>58</v>
      </c>
      <c r="AI5" s="228"/>
      <c r="AJ5" s="229" t="s">
        <v>64</v>
      </c>
      <c r="AK5" s="229" t="s">
        <v>55</v>
      </c>
      <c r="AL5" s="229" t="s">
        <v>56</v>
      </c>
      <c r="AM5" s="229" t="s">
        <v>57</v>
      </c>
      <c r="AN5" s="229" t="s">
        <v>58</v>
      </c>
      <c r="AO5" s="229" t="s">
        <v>65</v>
      </c>
      <c r="AP5" s="229" t="s">
        <v>66</v>
      </c>
      <c r="AQ5" s="229" t="s">
        <v>67</v>
      </c>
      <c r="AR5" s="27"/>
      <c r="AS5" s="229" t="s">
        <v>68</v>
      </c>
      <c r="AT5" s="84" t="s">
        <v>55</v>
      </c>
      <c r="AU5" s="84" t="s">
        <v>56</v>
      </c>
      <c r="AV5" s="84" t="s">
        <v>57</v>
      </c>
      <c r="AW5" s="84" t="s">
        <v>58</v>
      </c>
    </row>
    <row r="6" spans="2:49" ht="19.899999999999999" customHeight="1">
      <c r="B6" s="228"/>
      <c r="C6" s="79" t="s">
        <v>69</v>
      </c>
      <c r="D6" s="79">
        <v>1</v>
      </c>
      <c r="E6" s="79">
        <v>0.35</v>
      </c>
      <c r="F6" s="79">
        <v>0.1</v>
      </c>
      <c r="G6" s="228"/>
      <c r="H6" s="79">
        <v>1</v>
      </c>
      <c r="I6" s="79">
        <v>1.2</v>
      </c>
      <c r="J6" s="79">
        <v>2</v>
      </c>
      <c r="K6" s="79">
        <v>4</v>
      </c>
      <c r="L6" s="79">
        <v>1.1000000000000001</v>
      </c>
      <c r="M6" s="79">
        <v>1.1000000000000001</v>
      </c>
      <c r="N6" s="228"/>
      <c r="O6" s="228"/>
      <c r="P6" s="30"/>
      <c r="Q6" s="228"/>
      <c r="R6" s="79" t="s">
        <v>70</v>
      </c>
      <c r="S6" s="79" t="s">
        <v>71</v>
      </c>
      <c r="T6" s="79" t="s">
        <v>72</v>
      </c>
      <c r="U6" s="79" t="s">
        <v>73</v>
      </c>
      <c r="V6" s="228"/>
      <c r="W6" s="228"/>
      <c r="X6" s="228"/>
      <c r="Y6" s="228"/>
      <c r="Z6" s="73" t="s">
        <v>55</v>
      </c>
      <c r="AA6" s="73" t="s">
        <v>56</v>
      </c>
      <c r="AB6" s="73" t="s">
        <v>57</v>
      </c>
      <c r="AC6" s="73" t="s">
        <v>58</v>
      </c>
      <c r="AD6" s="229"/>
      <c r="AE6" s="229"/>
      <c r="AF6" s="229"/>
      <c r="AG6" s="229"/>
      <c r="AI6" s="228"/>
      <c r="AJ6" s="229"/>
      <c r="AK6" s="229"/>
      <c r="AL6" s="229"/>
      <c r="AM6" s="229"/>
      <c r="AN6" s="229"/>
      <c r="AO6" s="229"/>
      <c r="AP6" s="229"/>
      <c r="AQ6" s="229"/>
      <c r="AR6" s="31"/>
      <c r="AS6" s="229"/>
      <c r="AT6" s="73" t="s">
        <v>70</v>
      </c>
      <c r="AU6" s="73" t="s">
        <v>71</v>
      </c>
      <c r="AV6" s="73" t="s">
        <v>72</v>
      </c>
      <c r="AW6" s="73" t="s">
        <v>73</v>
      </c>
    </row>
    <row r="7" spans="2:49" s="5" customFormat="1" ht="15" customHeight="1">
      <c r="B7" s="48" t="s">
        <v>195</v>
      </c>
      <c r="C7" s="49">
        <f>VLOOKUP($B7,Unidades!$D$5:$N$23,6,FALSE())</f>
        <v>368.32</v>
      </c>
      <c r="D7" s="49">
        <f>VLOOKUP($B7,Unidades!$D$5:$N$23,7,FALSE())</f>
        <v>280.32</v>
      </c>
      <c r="E7" s="49">
        <f>VLOOKUP($B7,Unidades!$D$5:$N$23,8,FALSE())</f>
        <v>88</v>
      </c>
      <c r="F7" s="49">
        <f>VLOOKUP($B7,Unidades!$D$5:$N$23,9,FALSE())</f>
        <v>0</v>
      </c>
      <c r="G7" s="49">
        <f t="shared" ref="G7:G22" si="0">D7+E7*$E$6+F7*$F$6</f>
        <v>311.12</v>
      </c>
      <c r="H7" s="50">
        <f t="shared" ref="H7:H22" si="1">IF(G7&lt;750,1.5,IF(G7&lt;2000,2,3))</f>
        <v>1.5</v>
      </c>
      <c r="I7" s="50">
        <f t="shared" ref="I7:I22" si="2">$I$6*H7</f>
        <v>1.7999999999999998</v>
      </c>
      <c r="J7" s="50" t="str">
        <f>VLOOKUP($B7,Unidades!$D$5:$N$23,10,FALSE())</f>
        <v>NÃO</v>
      </c>
      <c r="K7" s="50" t="str">
        <f>VLOOKUP($B7,Unidades!$D$5:$N$23,11,FALSE())</f>
        <v>NÃO</v>
      </c>
      <c r="L7" s="50">
        <f t="shared" ref="L7:L22" si="3">$L$6*H7+(IF(J7="SIM",$J$6,0))</f>
        <v>1.6500000000000001</v>
      </c>
      <c r="M7" s="50">
        <f t="shared" ref="M7:M16" si="4">$M$6*H7+(IF(J7="SIM",$J$6,0))+(IF(K7="SIM",$K$6,0))</f>
        <v>1.6500000000000001</v>
      </c>
      <c r="N7" s="50">
        <f t="shared" ref="N7:N16" si="5">H7*12+I7*4+L7*2+M7</f>
        <v>30.15</v>
      </c>
      <c r="O7" s="51">
        <f>IF(K7="não", N7*(C$29+D$29),N7*(C$29+D$29)+(M7*+E$29))</f>
        <v>1523.7809999999999</v>
      </c>
      <c r="P7" s="32"/>
      <c r="Q7" s="53" t="str">
        <f t="shared" ref="Q7:Q25" si="6">B7</f>
        <v>APS Nova Prata</v>
      </c>
      <c r="R7" s="6">
        <f>H7*($C$29+$D$29)</f>
        <v>75.81</v>
      </c>
      <c r="S7" s="6">
        <f>I7*($C$29+$D$29)</f>
        <v>90.971999999999994</v>
      </c>
      <c r="T7" s="6">
        <f>L7*($C$29+$D$29)</f>
        <v>83.391000000000005</v>
      </c>
      <c r="U7" s="6">
        <f>IF(K7="não",M7*($C$29+$D$29),M7*(C$29+D$29+E$29))</f>
        <v>83.391000000000005</v>
      </c>
      <c r="V7" s="6">
        <f>VLOOKUP(Q7,'Desl. Base Passo Fundo'!$C$5:$S$23,13,FALSE())*($C$29+$D$29+$E$29*(VLOOKUP(Q7,'Desl. Base Passo Fundo'!$C$5:$S$23,17,FALSE())/12))</f>
        <v>117.50016666666667</v>
      </c>
      <c r="W7" s="6">
        <f>VLOOKUP(Q7,'Desl. Base Passo Fundo'!$C$5:$S$23,15,FALSE())*(2+(VLOOKUP(Q7,'Desl. Base Passo Fundo'!$C$5:$S$23,17,FALSE())/12))</f>
        <v>0</v>
      </c>
      <c r="X7" s="6">
        <f>VLOOKUP(Q7,'Desl. Base Passo Fundo'!$C$5:$Q$23,14,FALSE())</f>
        <v>0</v>
      </c>
      <c r="Y7" s="6">
        <f>VLOOKUP(Q7,'Desl. Base Passo Fundo'!$C$5:$Q$23,13,FALSE())*'Desl. Base Passo Fundo'!$E$28+'Desl. Base Passo Fundo'!$E$29*N7/12</f>
        <v>128.671875</v>
      </c>
      <c r="Z7" s="6">
        <f>(H7/$AC$5)*'Equipe Técnica'!$C$13</f>
        <v>346.49069350613541</v>
      </c>
      <c r="AA7" s="6">
        <f>(I7/$AC$5)*'Equipe Técnica'!$C$13</f>
        <v>415.78883220736247</v>
      </c>
      <c r="AB7" s="6">
        <f>(L7/$AC$5)*'Equipe Técnica'!$C$13</f>
        <v>381.13976285674903</v>
      </c>
      <c r="AC7" s="6">
        <f>(M7/$AC$5)*'Equipe Técnica'!$C$13</f>
        <v>381.13976285674903</v>
      </c>
      <c r="AD7" s="6">
        <f t="shared" ref="AD7:AD16" si="7">R7+(($V7+$W7+$X7+$Y7)*12/19)+$Z7</f>
        <v>577.77777245350387</v>
      </c>
      <c r="AE7" s="6">
        <f t="shared" ref="AE7:AE16" si="8">S7+(($V7+$W7+$X7+$Y7)*12/19)+$AA7</f>
        <v>662.23791115473091</v>
      </c>
      <c r="AF7" s="6">
        <f t="shared" ref="AF7:AF16" si="9">T7+(($V7+$W7+$X7+$Y7)*12/19)+$AB7</f>
        <v>620.00784180411745</v>
      </c>
      <c r="AG7" s="6">
        <f t="shared" ref="AG7:AG16" si="10">U7+(($V7+$W7+$X7+$Y7)*12/19)+$AC7</f>
        <v>620.00784180411745</v>
      </c>
      <c r="AI7" s="53" t="str">
        <f t="shared" ref="AI7:AI22" si="11">B7</f>
        <v>APS Nova Prata</v>
      </c>
      <c r="AJ7" s="63">
        <f>VLOOKUP(AI7,Unidades!D$5:H$23,5,)</f>
        <v>0.2354</v>
      </c>
      <c r="AK7" s="61">
        <f t="shared" ref="AK7" si="12">AD7*(1+$AJ7)</f>
        <v>713.78666008905873</v>
      </c>
      <c r="AL7" s="61">
        <f t="shared" ref="AL7" si="13">AE7*(1+$AJ7)</f>
        <v>818.12871544055463</v>
      </c>
      <c r="AM7" s="61">
        <f t="shared" ref="AM7" si="14">AF7*(1+$AJ7)</f>
        <v>765.95768776480668</v>
      </c>
      <c r="AN7" s="61">
        <f t="shared" ref="AN7" si="15">AG7*(1+$AJ7)</f>
        <v>765.95768776480668</v>
      </c>
      <c r="AO7" s="61">
        <f t="shared" ref="AO7" si="16">((AK7*12)+(AL7*4)+(AM7*2)+AN7)/12</f>
        <v>1177.9856538437787</v>
      </c>
      <c r="AP7" s="61">
        <f t="shared" ref="AP7" si="17">AO7*3</f>
        <v>3533.9569615313358</v>
      </c>
      <c r="AQ7" s="61">
        <f t="shared" ref="AQ7" si="18">AO7+AP7</f>
        <v>4711.9426153751147</v>
      </c>
      <c r="AR7" s="65"/>
      <c r="AS7" s="66" t="s">
        <v>74</v>
      </c>
      <c r="AT7" s="61">
        <f>AK26</f>
        <v>15302.932531206032</v>
      </c>
      <c r="AU7" s="61">
        <f>AL26</f>
        <v>17593.829333338115</v>
      </c>
      <c r="AV7" s="61">
        <f>AM26</f>
        <v>18520.469668408845</v>
      </c>
      <c r="AW7" s="61">
        <f>AN26</f>
        <v>36740.215561522578</v>
      </c>
    </row>
    <row r="8" spans="2:49" s="5" customFormat="1" ht="15" customHeight="1">
      <c r="B8" s="48" t="s">
        <v>197</v>
      </c>
      <c r="C8" s="49">
        <f>VLOOKUP($B8,Unidades!$D$5:$N$23,6,FALSE())</f>
        <v>2205.75</v>
      </c>
      <c r="D8" s="49">
        <f>VLOOKUP($B8,Unidades!$D$5:$N$23,7,FALSE())</f>
        <v>735.25</v>
      </c>
      <c r="E8" s="49">
        <f>VLOOKUP($B8,Unidades!$D$5:$N$23,8,FALSE())</f>
        <v>735.25</v>
      </c>
      <c r="F8" s="49">
        <f>VLOOKUP($B8,Unidades!$D$5:$N$23,9,FALSE())</f>
        <v>735.25</v>
      </c>
      <c r="G8" s="49">
        <f t="shared" si="0"/>
        <v>1066.1125</v>
      </c>
      <c r="H8" s="50">
        <f t="shared" si="1"/>
        <v>2</v>
      </c>
      <c r="I8" s="50">
        <f t="shared" si="2"/>
        <v>2.4</v>
      </c>
      <c r="J8" s="50" t="str">
        <f>VLOOKUP($B8,Unidades!$D$5:$N$23,10,FALSE())</f>
        <v>NÃO</v>
      </c>
      <c r="K8" s="50" t="str">
        <f>VLOOKUP($B8,Unidades!$D$5:$N$23,11,FALSE())</f>
        <v>NÃO</v>
      </c>
      <c r="L8" s="50">
        <f t="shared" si="3"/>
        <v>2.2000000000000002</v>
      </c>
      <c r="M8" s="50">
        <f t="shared" si="4"/>
        <v>2.2000000000000002</v>
      </c>
      <c r="N8" s="50">
        <f t="shared" si="5"/>
        <v>40.200000000000003</v>
      </c>
      <c r="O8" s="51">
        <f t="shared" ref="O8:O25" si="19">IF(K8="não", N8*(C$29+D$29),N8*(C$29+D$29)+(M8*+E$29))</f>
        <v>2031.7080000000001</v>
      </c>
      <c r="P8" s="32"/>
      <c r="Q8" s="53" t="str">
        <f t="shared" si="6"/>
        <v>APS Vacaria</v>
      </c>
      <c r="R8" s="6">
        <f t="shared" ref="R8:R25" si="20">H8*($C$29+$D$29)</f>
        <v>101.08</v>
      </c>
      <c r="S8" s="6">
        <f t="shared" ref="S8:S25" si="21">I8*($C$29+$D$29)</f>
        <v>121.29599999999999</v>
      </c>
      <c r="T8" s="6">
        <f t="shared" ref="T8:T25" si="22">L8*($C$29+$D$29)</f>
        <v>111.188</v>
      </c>
      <c r="U8" s="6">
        <f t="shared" ref="U8:U25" si="23">IF(K8="não",M8*($C$29+$D$29),M8*(C$29+D$29+E$29))</f>
        <v>111.188</v>
      </c>
      <c r="V8" s="6">
        <f>VLOOKUP(Q8,'Desl. Base Passo Fundo'!$C$5:$S$23,13,FALSE())*($C$29+$D$29+$E$29*(VLOOKUP(Q8,'Desl. Base Passo Fundo'!$C$5:$S$23,17,FALSE())/12))</f>
        <v>124.66533333333334</v>
      </c>
      <c r="W8" s="6">
        <f>VLOOKUP(Q8,'Desl. Base Passo Fundo'!$C$5:$S$23,15,FALSE())*(2+(VLOOKUP(Q8,'Desl. Base Passo Fundo'!$C$5:$S$23,17,FALSE())/12))</f>
        <v>0</v>
      </c>
      <c r="X8" s="6">
        <f>VLOOKUP(Q8,'Desl. Base Passo Fundo'!$C$5:$Q$23,14,FALSE())</f>
        <v>0</v>
      </c>
      <c r="Y8" s="6">
        <f>VLOOKUP(Q8,'Desl. Base Passo Fundo'!$C$5:$Q$23,13,FALSE())*'Desl. Base Passo Fundo'!$E$28+'Desl. Base Passo Fundo'!$E$29*N8/12</f>
        <v>147.9725</v>
      </c>
      <c r="Z8" s="6">
        <f>(H8/$AC$5)*'Equipe Técnica'!$C$13</f>
        <v>461.98759134151391</v>
      </c>
      <c r="AA8" s="6">
        <f>(I8/$AC$5)*'Equipe Técnica'!$C$13</f>
        <v>554.38510960981671</v>
      </c>
      <c r="AB8" s="6">
        <f>(L8/$AC$5)*'Equipe Técnica'!$C$13</f>
        <v>508.18635047566534</v>
      </c>
      <c r="AC8" s="6">
        <f>(M8/$AC$5)*'Equipe Técnica'!$C$13</f>
        <v>508.18635047566534</v>
      </c>
      <c r="AD8" s="6">
        <f t="shared" si="7"/>
        <v>735.25990713098759</v>
      </c>
      <c r="AE8" s="6">
        <f t="shared" si="8"/>
        <v>847.87342539929045</v>
      </c>
      <c r="AF8" s="6">
        <f t="shared" si="9"/>
        <v>791.56666626513902</v>
      </c>
      <c r="AG8" s="6">
        <f t="shared" si="10"/>
        <v>791.56666626513902</v>
      </c>
      <c r="AI8" s="53" t="str">
        <f t="shared" si="11"/>
        <v>APS Vacaria</v>
      </c>
      <c r="AJ8" s="63">
        <f>VLOOKUP(AI8,Unidades!D$5:H$23,5,)</f>
        <v>0.2223</v>
      </c>
      <c r="AK8" s="61">
        <f t="shared" ref="AK8:AK25" si="24">AD8*(1+$AJ8)</f>
        <v>898.70818448620605</v>
      </c>
      <c r="AL8" s="61">
        <f t="shared" ref="AL8:AL25" si="25">AE8*(1+$AJ8)</f>
        <v>1036.3556878655527</v>
      </c>
      <c r="AM8" s="61">
        <f t="shared" ref="AM8:AM25" si="26">AF8*(1+$AJ8)</f>
        <v>967.53193617587942</v>
      </c>
      <c r="AN8" s="61">
        <f t="shared" ref="AN8:AN25" si="27">AG8*(1+$AJ8)</f>
        <v>967.53193617587942</v>
      </c>
      <c r="AO8" s="61">
        <f t="shared" ref="AO8:AO25" si="28">((AK8*12)+(AL8*4)+(AM8*2)+AN8)/12</f>
        <v>1486.0430644853604</v>
      </c>
      <c r="AP8" s="61">
        <f t="shared" ref="AP8:AP25" si="29">AO8*3</f>
        <v>4458.1291934560813</v>
      </c>
      <c r="AQ8" s="61">
        <f t="shared" ref="AQ8:AQ25" si="30">AO8+AP8</f>
        <v>5944.1722579414418</v>
      </c>
      <c r="AR8" s="65"/>
      <c r="AS8" s="66" t="s">
        <v>75</v>
      </c>
      <c r="AT8" s="61">
        <f>AT7*12</f>
        <v>183635.19037447238</v>
      </c>
      <c r="AU8" s="61">
        <f>AU7*4</f>
        <v>70375.317333352461</v>
      </c>
      <c r="AV8" s="61">
        <f>AV7*2</f>
        <v>37040.93933681769</v>
      </c>
      <c r="AW8" s="61">
        <f>AW7</f>
        <v>36740.215561522578</v>
      </c>
    </row>
    <row r="9" spans="2:49" s="5" customFormat="1" ht="15" customHeight="1">
      <c r="B9" s="48" t="s">
        <v>199</v>
      </c>
      <c r="C9" s="49">
        <f>VLOOKUP($B9,Unidades!$D$5:$N$23,6,FALSE())</f>
        <v>824.48</v>
      </c>
      <c r="D9" s="49">
        <f>VLOOKUP($B9,Unidades!$D$5:$N$23,7,FALSE())</f>
        <v>416.95</v>
      </c>
      <c r="E9" s="49">
        <f>VLOOKUP($B9,Unidades!$D$5:$N$23,8,FALSE())</f>
        <v>407.53</v>
      </c>
      <c r="F9" s="49">
        <f>VLOOKUP($B9,Unidades!$D$5:$N$23,9,FALSE())</f>
        <v>0</v>
      </c>
      <c r="G9" s="49">
        <f t="shared" si="0"/>
        <v>559.58549999999991</v>
      </c>
      <c r="H9" s="50">
        <f t="shared" si="1"/>
        <v>1.5</v>
      </c>
      <c r="I9" s="50">
        <f t="shared" si="2"/>
        <v>1.7999999999999998</v>
      </c>
      <c r="J9" s="50" t="str">
        <f>VLOOKUP($B9,Unidades!$D$5:$N$23,10,FALSE())</f>
        <v>NÃO</v>
      </c>
      <c r="K9" s="50" t="str">
        <f>VLOOKUP($B9,Unidades!$D$5:$N$23,11,FALSE())</f>
        <v>SIM</v>
      </c>
      <c r="L9" s="50">
        <f t="shared" si="3"/>
        <v>1.6500000000000001</v>
      </c>
      <c r="M9" s="50">
        <f t="shared" si="4"/>
        <v>5.65</v>
      </c>
      <c r="N9" s="50">
        <f t="shared" si="5"/>
        <v>34.15</v>
      </c>
      <c r="O9" s="51">
        <f t="shared" si="19"/>
        <v>1920.4704999999999</v>
      </c>
      <c r="P9" s="32"/>
      <c r="Q9" s="53" t="str">
        <f t="shared" si="6"/>
        <v>APS Veranópolis</v>
      </c>
      <c r="R9" s="6">
        <f t="shared" si="20"/>
        <v>75.81</v>
      </c>
      <c r="S9" s="6">
        <f t="shared" si="21"/>
        <v>90.971999999999994</v>
      </c>
      <c r="T9" s="6">
        <f t="shared" si="22"/>
        <v>83.391000000000005</v>
      </c>
      <c r="U9" s="6">
        <f t="shared" si="23"/>
        <v>480.08050000000003</v>
      </c>
      <c r="V9" s="6">
        <f>VLOOKUP(Q9,'Desl. Base Passo Fundo'!$C$5:$S$23,13,FALSE())*($C$29+$D$29+$E$29*(VLOOKUP(Q9,'Desl. Base Passo Fundo'!$C$5:$S$23,17,FALSE())/12))</f>
        <v>117.50016666666667</v>
      </c>
      <c r="W9" s="6">
        <f>VLOOKUP(Q9,'Desl. Base Passo Fundo'!$C$5:$S$23,15,FALSE())*(2+(VLOOKUP(Q9,'Desl. Base Passo Fundo'!$C$5:$S$23,17,FALSE())/12))</f>
        <v>0</v>
      </c>
      <c r="X9" s="6">
        <f>VLOOKUP(Q9,'Desl. Base Passo Fundo'!$C$5:$Q$23,14,FALSE())</f>
        <v>0</v>
      </c>
      <c r="Y9" s="6">
        <f>VLOOKUP(Q9,'Desl. Base Passo Fundo'!$C$5:$Q$23,13,FALSE())*'Desl. Base Passo Fundo'!$E$28+'Desl. Base Passo Fundo'!$E$29*N9/12</f>
        <v>130.98854166666666</v>
      </c>
      <c r="Z9" s="6">
        <f>(H9/$AC$5)*'Equipe Técnica'!$C$13</f>
        <v>346.49069350613541</v>
      </c>
      <c r="AA9" s="6">
        <f>(I9/$AC$5)*'Equipe Técnica'!$C$13</f>
        <v>415.78883220736247</v>
      </c>
      <c r="AB9" s="6">
        <f>(L9/$AC$5)*'Equipe Técnica'!$C$13</f>
        <v>381.13976285674903</v>
      </c>
      <c r="AC9" s="6">
        <f>(M9/$AC$5)*'Equipe Técnica'!$C$13</f>
        <v>1305.114945539777</v>
      </c>
      <c r="AD9" s="6">
        <f t="shared" si="7"/>
        <v>579.24093034824068</v>
      </c>
      <c r="AE9" s="6">
        <f t="shared" si="8"/>
        <v>663.70106904946772</v>
      </c>
      <c r="AF9" s="6">
        <f t="shared" si="9"/>
        <v>621.47099969885426</v>
      </c>
      <c r="AG9" s="6">
        <f t="shared" si="10"/>
        <v>1942.1356823818824</v>
      </c>
      <c r="AI9" s="53" t="str">
        <f t="shared" si="11"/>
        <v>APS Veranópolis</v>
      </c>
      <c r="AJ9" s="63">
        <f>VLOOKUP(AI9,Unidades!D$5:H$23,5,)</f>
        <v>0.2354</v>
      </c>
      <c r="AK9" s="61">
        <f t="shared" si="24"/>
        <v>715.5942453522166</v>
      </c>
      <c r="AL9" s="61">
        <f t="shared" si="25"/>
        <v>819.9363007037125</v>
      </c>
      <c r="AM9" s="61">
        <f t="shared" si="26"/>
        <v>767.76527302796455</v>
      </c>
      <c r="AN9" s="61">
        <f t="shared" si="27"/>
        <v>2399.3144220145778</v>
      </c>
      <c r="AO9" s="61">
        <f t="shared" si="28"/>
        <v>1316.8100929259963</v>
      </c>
      <c r="AP9" s="61">
        <f t="shared" si="29"/>
        <v>3950.4302787779889</v>
      </c>
      <c r="AQ9" s="61">
        <f t="shared" si="30"/>
        <v>5267.2403717039851</v>
      </c>
      <c r="AR9" s="65"/>
      <c r="AS9" s="65"/>
      <c r="AT9" s="64"/>
      <c r="AU9" s="64"/>
      <c r="AV9" s="64"/>
      <c r="AW9" s="64"/>
    </row>
    <row r="10" spans="2:49" s="5" customFormat="1" ht="15" customHeight="1">
      <c r="B10" s="48" t="s">
        <v>201</v>
      </c>
      <c r="C10" s="49">
        <f>VLOOKUP($B10,Unidades!$D$5:$N$23,6,FALSE())</f>
        <v>2634.28</v>
      </c>
      <c r="D10" s="49">
        <f>VLOOKUP($B10,Unidades!$D$5:$N$23,7,FALSE())</f>
        <v>991.45</v>
      </c>
      <c r="E10" s="49">
        <f>VLOOKUP($B10,Unidades!$D$5:$N$23,8,FALSE())</f>
        <v>971.83</v>
      </c>
      <c r="F10" s="49">
        <f>VLOOKUP($B10,Unidades!$D$5:$N$23,9,FALSE())</f>
        <v>671</v>
      </c>
      <c r="G10" s="49">
        <f t="shared" si="0"/>
        <v>1398.6904999999999</v>
      </c>
      <c r="H10" s="50">
        <f t="shared" si="1"/>
        <v>2</v>
      </c>
      <c r="I10" s="50">
        <f t="shared" si="2"/>
        <v>2.4</v>
      </c>
      <c r="J10" s="50" t="str">
        <f>VLOOKUP($B10,Unidades!$D$5:$N$23,10,FALSE())</f>
        <v>SIM</v>
      </c>
      <c r="K10" s="50" t="str">
        <f>VLOOKUP($B10,Unidades!$D$5:$N$23,11,FALSE())</f>
        <v>SIM</v>
      </c>
      <c r="L10" s="50">
        <f t="shared" si="3"/>
        <v>4.2</v>
      </c>
      <c r="M10" s="50">
        <f t="shared" si="4"/>
        <v>8.1999999999999993</v>
      </c>
      <c r="N10" s="50">
        <f t="shared" si="5"/>
        <v>50.2</v>
      </c>
      <c r="O10" s="51">
        <f t="shared" si="19"/>
        <v>2819.4340000000002</v>
      </c>
      <c r="P10" s="32"/>
      <c r="Q10" s="53" t="str">
        <f t="shared" si="6"/>
        <v>APS Carazinho</v>
      </c>
      <c r="R10" s="6">
        <f t="shared" si="20"/>
        <v>101.08</v>
      </c>
      <c r="S10" s="6">
        <f t="shared" si="21"/>
        <v>121.29599999999999</v>
      </c>
      <c r="T10" s="6">
        <f t="shared" si="22"/>
        <v>212.268</v>
      </c>
      <c r="U10" s="6">
        <f t="shared" si="23"/>
        <v>696.75399999999991</v>
      </c>
      <c r="V10" s="6">
        <f>VLOOKUP(Q10,'Desl. Base Passo Fundo'!$C$5:$S$23,13,FALSE())*($C$29+$D$29+$E$29*(VLOOKUP(Q10,'Desl. Base Passo Fundo'!$C$5:$S$23,17,FALSE())/12))</f>
        <v>43.17240972222222</v>
      </c>
      <c r="W10" s="6">
        <f>VLOOKUP(Q10,'Desl. Base Passo Fundo'!$C$5:$S$23,15,FALSE())*(2+(VLOOKUP(Q10,'Desl. Base Passo Fundo'!$C$5:$S$23,17,FALSE())/12))</f>
        <v>0</v>
      </c>
      <c r="X10" s="6">
        <f>VLOOKUP(Q10,'Desl. Base Passo Fundo'!$C$5:$Q$23,14,FALSE())</f>
        <v>0</v>
      </c>
      <c r="Y10" s="6">
        <f>VLOOKUP(Q10,'Desl. Base Passo Fundo'!$C$5:$Q$23,13,FALSE())*'Desl. Base Passo Fundo'!$E$28+'Desl. Base Passo Fundo'!$E$29*N10/12</f>
        <v>69.935416666666669</v>
      </c>
      <c r="Z10" s="6">
        <f>(H10/$AC$5)*'Equipe Técnica'!$C$13</f>
        <v>461.98759134151391</v>
      </c>
      <c r="AA10" s="6">
        <f>(I10/$AC$5)*'Equipe Técnica'!$C$13</f>
        <v>554.38510960981671</v>
      </c>
      <c r="AB10" s="6">
        <f>(L10/$AC$5)*'Equipe Técnica'!$C$13</f>
        <v>970.1739418171793</v>
      </c>
      <c r="AC10" s="6">
        <f>(M10/$AC$5)*'Equipe Técnica'!$C$13</f>
        <v>1894.1491245002071</v>
      </c>
      <c r="AD10" s="6">
        <f t="shared" si="7"/>
        <v>634.5041132713385</v>
      </c>
      <c r="AE10" s="6">
        <f t="shared" si="8"/>
        <v>747.11763153964125</v>
      </c>
      <c r="AF10" s="6">
        <f t="shared" si="9"/>
        <v>1253.8784637470039</v>
      </c>
      <c r="AG10" s="6">
        <f t="shared" si="10"/>
        <v>2662.3396464300317</v>
      </c>
      <c r="AI10" s="53" t="str">
        <f t="shared" si="11"/>
        <v>APS Carazinho</v>
      </c>
      <c r="AJ10" s="63">
        <f>VLOOKUP(AI10,Unidades!D$5:H$23,5,)</f>
        <v>0.2354</v>
      </c>
      <c r="AK10" s="61">
        <f t="shared" si="24"/>
        <v>783.86638153541162</v>
      </c>
      <c r="AL10" s="61">
        <f t="shared" si="25"/>
        <v>922.9891220040729</v>
      </c>
      <c r="AM10" s="61">
        <f t="shared" si="26"/>
        <v>1549.0414541130488</v>
      </c>
      <c r="AN10" s="61">
        <f t="shared" si="27"/>
        <v>3289.0543991996615</v>
      </c>
      <c r="AO10" s="61">
        <f t="shared" si="28"/>
        <v>1623.7908644889158</v>
      </c>
      <c r="AP10" s="61">
        <f t="shared" si="29"/>
        <v>4871.3725934667473</v>
      </c>
      <c r="AQ10" s="61">
        <f t="shared" si="30"/>
        <v>6495.163457955663</v>
      </c>
      <c r="AR10" s="65"/>
      <c r="AS10" s="87" t="s">
        <v>65</v>
      </c>
      <c r="AT10" s="231">
        <f>(SUM(AT8:AW8))/12</f>
        <v>27315.971883847091</v>
      </c>
      <c r="AU10" s="231"/>
      <c r="AV10" s="64"/>
      <c r="AW10" s="64"/>
    </row>
    <row r="11" spans="2:49" s="5" customFormat="1" ht="15" customHeight="1">
      <c r="B11" s="48" t="s">
        <v>203</v>
      </c>
      <c r="C11" s="49">
        <f>VLOOKUP($B11,Unidades!$D$5:$N$23,6,FALSE())</f>
        <v>548.83000000000004</v>
      </c>
      <c r="D11" s="49">
        <f>VLOOKUP($B11,Unidades!$D$5:$N$23,7,FALSE())</f>
        <v>421.87</v>
      </c>
      <c r="E11" s="49">
        <f>VLOOKUP($B11,Unidades!$D$5:$N$23,8,FALSE())</f>
        <v>126.96</v>
      </c>
      <c r="F11" s="49">
        <f>VLOOKUP($B11,Unidades!$D$5:$N$23,9,FALSE())</f>
        <v>0</v>
      </c>
      <c r="G11" s="49">
        <f t="shared" si="0"/>
        <v>466.30599999999998</v>
      </c>
      <c r="H11" s="50">
        <f t="shared" si="1"/>
        <v>1.5</v>
      </c>
      <c r="I11" s="50">
        <f t="shared" si="2"/>
        <v>1.7999999999999998</v>
      </c>
      <c r="J11" s="50" t="str">
        <f>VLOOKUP($B11,Unidades!$D$5:$N$23,10,FALSE())</f>
        <v>NÃO</v>
      </c>
      <c r="K11" s="50" t="str">
        <f>VLOOKUP($B11,Unidades!$D$5:$N$23,11,FALSE())</f>
        <v>SIM</v>
      </c>
      <c r="L11" s="50">
        <f t="shared" si="3"/>
        <v>1.6500000000000001</v>
      </c>
      <c r="M11" s="50">
        <f t="shared" si="4"/>
        <v>5.65</v>
      </c>
      <c r="N11" s="50">
        <f t="shared" si="5"/>
        <v>34.15</v>
      </c>
      <c r="O11" s="51">
        <f t="shared" si="19"/>
        <v>1920.4704999999999</v>
      </c>
      <c r="P11" s="32"/>
      <c r="Q11" s="53" t="str">
        <f t="shared" si="6"/>
        <v>APS Casca</v>
      </c>
      <c r="R11" s="6">
        <f t="shared" si="20"/>
        <v>75.81</v>
      </c>
      <c r="S11" s="6">
        <f t="shared" si="21"/>
        <v>90.971999999999994</v>
      </c>
      <c r="T11" s="6">
        <f t="shared" si="22"/>
        <v>83.391000000000005</v>
      </c>
      <c r="U11" s="6">
        <f t="shared" si="23"/>
        <v>480.08050000000003</v>
      </c>
      <c r="V11" s="6">
        <f>VLOOKUP(Q11,'Desl. Base Passo Fundo'!$C$5:$S$23,13,FALSE())*($C$29+$D$29+$E$29*(VLOOKUP(Q11,'Desl. Base Passo Fundo'!$C$5:$S$23,17,FALSE())/12))</f>
        <v>62.75577083333333</v>
      </c>
      <c r="W11" s="6">
        <f>VLOOKUP(Q11,'Desl. Base Passo Fundo'!$C$5:$S$23,15,FALSE())*(2+(VLOOKUP(Q11,'Desl. Base Passo Fundo'!$C$5:$S$23,17,FALSE())/12))</f>
        <v>0</v>
      </c>
      <c r="X11" s="6">
        <f>VLOOKUP(Q11,'Desl. Base Passo Fundo'!$C$5:$Q$23,14,FALSE())</f>
        <v>0</v>
      </c>
      <c r="Y11" s="6">
        <f>VLOOKUP(Q11,'Desl. Base Passo Fundo'!$C$5:$Q$23,13,FALSE())*'Desl. Base Passo Fundo'!$E$28+'Desl. Base Passo Fundo'!$E$29*N11/12</f>
        <v>79.174791666666664</v>
      </c>
      <c r="Z11" s="6">
        <f>(H11/$AC$5)*'Equipe Técnica'!$C$13</f>
        <v>346.49069350613541</v>
      </c>
      <c r="AA11" s="6">
        <f>(I11/$AC$5)*'Equipe Técnica'!$C$13</f>
        <v>415.78883220736247</v>
      </c>
      <c r="AB11" s="6">
        <f>(L11/$AC$5)*'Equipe Técnica'!$C$13</f>
        <v>381.13976285674903</v>
      </c>
      <c r="AC11" s="6">
        <f>(M11/$AC$5)*'Equipe Técnica'!$C$13</f>
        <v>1305.114945539777</v>
      </c>
      <c r="AD11" s="6">
        <f t="shared" si="7"/>
        <v>511.94104876929333</v>
      </c>
      <c r="AE11" s="6">
        <f t="shared" si="8"/>
        <v>596.40118747052043</v>
      </c>
      <c r="AF11" s="6">
        <f t="shared" si="9"/>
        <v>554.17111811990696</v>
      </c>
      <c r="AG11" s="6">
        <f t="shared" si="10"/>
        <v>1874.835800802935</v>
      </c>
      <c r="AI11" s="53" t="str">
        <f t="shared" si="11"/>
        <v>APS Casca</v>
      </c>
      <c r="AJ11" s="63">
        <f>VLOOKUP(AI11,Unidades!D$5:H$23,5,)</f>
        <v>0.2223</v>
      </c>
      <c r="AK11" s="61">
        <f t="shared" si="24"/>
        <v>625.74554391070717</v>
      </c>
      <c r="AL11" s="61">
        <f t="shared" si="25"/>
        <v>728.98117144521711</v>
      </c>
      <c r="AM11" s="61">
        <f t="shared" si="26"/>
        <v>677.3633576779622</v>
      </c>
      <c r="AN11" s="61">
        <f t="shared" si="27"/>
        <v>2291.6117993214275</v>
      </c>
      <c r="AO11" s="61">
        <f t="shared" si="28"/>
        <v>1172.6008106155589</v>
      </c>
      <c r="AP11" s="61">
        <f t="shared" si="29"/>
        <v>3517.8024318466769</v>
      </c>
      <c r="AQ11" s="61">
        <f t="shared" si="30"/>
        <v>4690.4032424622355</v>
      </c>
      <c r="AR11" s="65"/>
      <c r="AS11" s="87" t="s">
        <v>76</v>
      </c>
      <c r="AT11" s="231">
        <f>AT10*12</f>
        <v>327791.6626061651</v>
      </c>
      <c r="AU11" s="231"/>
      <c r="AV11" s="64"/>
      <c r="AW11" s="64"/>
    </row>
    <row r="12" spans="2:49" s="5" customFormat="1" ht="15" customHeight="1">
      <c r="B12" s="48" t="s">
        <v>205</v>
      </c>
      <c r="C12" s="49">
        <f>VLOOKUP($B12,Unidades!$D$5:$N$23,6,FALSE())</f>
        <v>2708.27</v>
      </c>
      <c r="D12" s="49">
        <f>VLOOKUP($B12,Unidades!$D$5:$N$23,7,FALSE())</f>
        <v>1355.18</v>
      </c>
      <c r="E12" s="49">
        <f>VLOOKUP($B12,Unidades!$D$5:$N$23,8,FALSE())</f>
        <v>1078.3</v>
      </c>
      <c r="F12" s="49">
        <f>VLOOKUP($B12,Unidades!$D$5:$N$23,9,FALSE())</f>
        <v>274.79000000000002</v>
      </c>
      <c r="G12" s="49">
        <f t="shared" si="0"/>
        <v>1760.0640000000001</v>
      </c>
      <c r="H12" s="50">
        <f t="shared" si="1"/>
        <v>2</v>
      </c>
      <c r="I12" s="50">
        <f t="shared" si="2"/>
        <v>2.4</v>
      </c>
      <c r="J12" s="50" t="str">
        <f>VLOOKUP($B12,Unidades!$D$5:$N$23,10,FALSE())</f>
        <v>NÃO</v>
      </c>
      <c r="K12" s="50" t="str">
        <f>VLOOKUP($B12,Unidades!$D$5:$N$23,11,FALSE())</f>
        <v>SIM</v>
      </c>
      <c r="L12" s="50">
        <f t="shared" si="3"/>
        <v>2.2000000000000002</v>
      </c>
      <c r="M12" s="50">
        <f t="shared" si="4"/>
        <v>6.2</v>
      </c>
      <c r="N12" s="50">
        <f t="shared" si="5"/>
        <v>44.2</v>
      </c>
      <c r="O12" s="51">
        <f t="shared" si="19"/>
        <v>2447.3339999999998</v>
      </c>
      <c r="P12" s="32"/>
      <c r="Q12" s="53" t="str">
        <f t="shared" si="6"/>
        <v>APS Erechim</v>
      </c>
      <c r="R12" s="6">
        <f t="shared" si="20"/>
        <v>101.08</v>
      </c>
      <c r="S12" s="6">
        <f t="shared" si="21"/>
        <v>121.29599999999999</v>
      </c>
      <c r="T12" s="6">
        <f t="shared" si="22"/>
        <v>111.188</v>
      </c>
      <c r="U12" s="6">
        <f t="shared" si="23"/>
        <v>526.81399999999996</v>
      </c>
      <c r="V12" s="6">
        <f>VLOOKUP(Q12,'Desl. Base Passo Fundo'!$C$5:$S$23,13,FALSE())*($C$29+$D$29+$E$29*(VLOOKUP(Q12,'Desl. Base Passo Fundo'!$C$5:$S$23,17,FALSE())/12))</f>
        <v>72.992527777777781</v>
      </c>
      <c r="W12" s="6">
        <f>VLOOKUP(Q12,'Desl. Base Passo Fundo'!$C$5:$S$23,15,FALSE())*(2+(VLOOKUP(Q12,'Desl. Base Passo Fundo'!$C$5:$S$23,17,FALSE())/12))</f>
        <v>0</v>
      </c>
      <c r="X12" s="6">
        <f>VLOOKUP(Q12,'Desl. Base Passo Fundo'!$C$5:$Q$23,14,FALSE())</f>
        <v>2.4500000000000002</v>
      </c>
      <c r="Y12" s="6">
        <f>VLOOKUP(Q12,'Desl. Base Passo Fundo'!$C$5:$Q$23,13,FALSE())*'Desl. Base Passo Fundo'!$E$28+'Desl. Base Passo Fundo'!$E$29*N12/12</f>
        <v>94.68416666666667</v>
      </c>
      <c r="Z12" s="6">
        <f>(H12/$AC$5)*'Equipe Técnica'!$C$13</f>
        <v>461.98759134151391</v>
      </c>
      <c r="AA12" s="6">
        <f>(I12/$AC$5)*'Equipe Técnica'!$C$13</f>
        <v>554.38510960981671</v>
      </c>
      <c r="AB12" s="6">
        <f>(L12/$AC$5)*'Equipe Técnica'!$C$13</f>
        <v>508.18635047566534</v>
      </c>
      <c r="AC12" s="6">
        <f>(M12/$AC$5)*'Equipe Técnica'!$C$13</f>
        <v>1432.1615331586934</v>
      </c>
      <c r="AD12" s="6">
        <f t="shared" si="7"/>
        <v>670.5160299380052</v>
      </c>
      <c r="AE12" s="6">
        <f t="shared" si="8"/>
        <v>783.12954820630796</v>
      </c>
      <c r="AF12" s="6">
        <f t="shared" si="9"/>
        <v>726.82278907215664</v>
      </c>
      <c r="AG12" s="6">
        <f t="shared" si="10"/>
        <v>2066.4239717551845</v>
      </c>
      <c r="AI12" s="53" t="str">
        <f t="shared" si="11"/>
        <v>APS Erechim</v>
      </c>
      <c r="AJ12" s="63">
        <f>VLOOKUP(AI12,Unidades!D$5:H$23,5,)</f>
        <v>0.26240000000000002</v>
      </c>
      <c r="AK12" s="61">
        <f t="shared" si="24"/>
        <v>846.4594361937377</v>
      </c>
      <c r="AL12" s="61">
        <f t="shared" si="25"/>
        <v>988.62274165564315</v>
      </c>
      <c r="AM12" s="61">
        <f t="shared" si="26"/>
        <v>917.54108892469048</v>
      </c>
      <c r="AN12" s="61">
        <f t="shared" si="27"/>
        <v>2608.6536219437448</v>
      </c>
      <c r="AO12" s="61">
        <f t="shared" si="28"/>
        <v>1546.3116667283791</v>
      </c>
      <c r="AP12" s="61">
        <f t="shared" si="29"/>
        <v>4638.9350001851371</v>
      </c>
      <c r="AQ12" s="61">
        <f t="shared" si="30"/>
        <v>6185.2466669135165</v>
      </c>
      <c r="AR12" s="65"/>
      <c r="AS12" s="87" t="s">
        <v>66</v>
      </c>
      <c r="AT12" s="231">
        <f>AT10*3</f>
        <v>81947.915651541276</v>
      </c>
      <c r="AU12" s="231"/>
      <c r="AV12" s="65"/>
      <c r="AW12" s="65"/>
    </row>
    <row r="13" spans="2:49" s="5" customFormat="1" ht="15" customHeight="1">
      <c r="B13" s="48" t="s">
        <v>207</v>
      </c>
      <c r="C13" s="49">
        <f>VLOOKUP($B13,Unidades!$D$5:$N$23,6,FALSE())</f>
        <v>798.65</v>
      </c>
      <c r="D13" s="49">
        <f>VLOOKUP($B13,Unidades!$D$5:$N$23,7,FALSE())</f>
        <v>287.86</v>
      </c>
      <c r="E13" s="49">
        <f>VLOOKUP($B13,Unidades!$D$5:$N$23,8,FALSE())</f>
        <v>55.73</v>
      </c>
      <c r="F13" s="49">
        <f>VLOOKUP($B13,Unidades!$D$5:$N$23,9,FALSE())</f>
        <v>455.06</v>
      </c>
      <c r="G13" s="49">
        <f t="shared" si="0"/>
        <v>352.87149999999997</v>
      </c>
      <c r="H13" s="50">
        <f t="shared" si="1"/>
        <v>1.5</v>
      </c>
      <c r="I13" s="50">
        <f t="shared" si="2"/>
        <v>1.7999999999999998</v>
      </c>
      <c r="J13" s="50" t="str">
        <f>VLOOKUP($B13,Unidades!$D$5:$N$23,10,FALSE())</f>
        <v>NÃO</v>
      </c>
      <c r="K13" s="50" t="str">
        <f>VLOOKUP($B13,Unidades!$D$5:$N$23,11,FALSE())</f>
        <v>NÃO</v>
      </c>
      <c r="L13" s="50">
        <f t="shared" si="3"/>
        <v>1.6500000000000001</v>
      </c>
      <c r="M13" s="50">
        <f t="shared" si="4"/>
        <v>1.6500000000000001</v>
      </c>
      <c r="N13" s="50">
        <f t="shared" si="5"/>
        <v>30.15</v>
      </c>
      <c r="O13" s="51">
        <f t="shared" si="19"/>
        <v>1523.7809999999999</v>
      </c>
      <c r="P13" s="32"/>
      <c r="Q13" s="53" t="str">
        <f t="shared" si="6"/>
        <v>APS Espumoso</v>
      </c>
      <c r="R13" s="6">
        <f t="shared" si="20"/>
        <v>75.81</v>
      </c>
      <c r="S13" s="6">
        <f t="shared" si="21"/>
        <v>90.971999999999994</v>
      </c>
      <c r="T13" s="6">
        <f t="shared" si="22"/>
        <v>83.391000000000005</v>
      </c>
      <c r="U13" s="6">
        <f t="shared" si="23"/>
        <v>83.391000000000005</v>
      </c>
      <c r="V13" s="6">
        <f>VLOOKUP(Q13,'Desl. Base Passo Fundo'!$C$5:$S$23,13,FALSE())*($C$29+$D$29+$E$29*(VLOOKUP(Q13,'Desl. Base Passo Fundo'!$C$5:$S$23,17,FALSE())/12))</f>
        <v>76.998215277777774</v>
      </c>
      <c r="W13" s="6">
        <f>VLOOKUP(Q13,'Desl. Base Passo Fundo'!$C$5:$S$23,15,FALSE())*(2+(VLOOKUP(Q13,'Desl. Base Passo Fundo'!$C$5:$S$23,17,FALSE())/12))</f>
        <v>0</v>
      </c>
      <c r="X13" s="6">
        <f>VLOOKUP(Q13,'Desl. Base Passo Fundo'!$C$5:$Q$23,14,FALSE())</f>
        <v>0</v>
      </c>
      <c r="Y13" s="6">
        <f>VLOOKUP(Q13,'Desl. Base Passo Fundo'!$C$5:$Q$23,13,FALSE())*'Desl. Base Passo Fundo'!$E$28+'Desl. Base Passo Fundo'!$E$29*N13/12</f>
        <v>90.338124999999991</v>
      </c>
      <c r="Z13" s="6">
        <f>(H13/$AC$5)*'Equipe Técnica'!$C$13</f>
        <v>346.49069350613541</v>
      </c>
      <c r="AA13" s="6">
        <f>(I13/$AC$5)*'Equipe Técnica'!$C$13</f>
        <v>415.78883220736247</v>
      </c>
      <c r="AB13" s="6">
        <f>(L13/$AC$5)*'Equipe Técnica'!$C$13</f>
        <v>381.13976285674903</v>
      </c>
      <c r="AC13" s="6">
        <f>(M13/$AC$5)*'Equipe Técnica'!$C$13</f>
        <v>381.13976285674903</v>
      </c>
      <c r="AD13" s="6">
        <f t="shared" si="7"/>
        <v>527.98680315525826</v>
      </c>
      <c r="AE13" s="6">
        <f t="shared" si="8"/>
        <v>612.4469418564853</v>
      </c>
      <c r="AF13" s="6">
        <f t="shared" si="9"/>
        <v>570.21687250587183</v>
      </c>
      <c r="AG13" s="6">
        <f t="shared" si="10"/>
        <v>570.21687250587183</v>
      </c>
      <c r="AI13" s="53" t="str">
        <f t="shared" si="11"/>
        <v>APS Espumoso</v>
      </c>
      <c r="AJ13" s="63">
        <f>VLOOKUP(AI13,Unidades!D$5:H$23,5,)</f>
        <v>0.2487</v>
      </c>
      <c r="AK13" s="61">
        <f t="shared" si="24"/>
        <v>659.29712109997092</v>
      </c>
      <c r="AL13" s="61">
        <f t="shared" si="25"/>
        <v>764.76249629619315</v>
      </c>
      <c r="AM13" s="61">
        <f t="shared" si="26"/>
        <v>712.02980869808209</v>
      </c>
      <c r="AN13" s="61">
        <f t="shared" si="27"/>
        <v>712.02980869808209</v>
      </c>
      <c r="AO13" s="61">
        <f t="shared" si="28"/>
        <v>1092.2254053732224</v>
      </c>
      <c r="AP13" s="61">
        <f t="shared" si="29"/>
        <v>3276.6762161196675</v>
      </c>
      <c r="AQ13" s="61">
        <f t="shared" si="30"/>
        <v>4368.9016214928897</v>
      </c>
      <c r="AR13" s="65"/>
      <c r="AS13" s="87" t="s">
        <v>77</v>
      </c>
      <c r="AT13" s="231">
        <f>AT12*12</f>
        <v>983374.98781849537</v>
      </c>
      <c r="AU13" s="231"/>
      <c r="AV13" s="64"/>
      <c r="AW13" s="64"/>
    </row>
    <row r="14" spans="2:49" s="5" customFormat="1" ht="15" customHeight="1">
      <c r="B14" s="48" t="s">
        <v>209</v>
      </c>
      <c r="C14" s="49">
        <f>VLOOKUP($B14,Unidades!$D$5:$N$23,6,FALSE())</f>
        <v>334.4</v>
      </c>
      <c r="D14" s="49">
        <f>VLOOKUP($B14,Unidades!$D$5:$N$23,7,FALSE())</f>
        <v>296</v>
      </c>
      <c r="E14" s="49">
        <f>VLOOKUP($B14,Unidades!$D$5:$N$23,8,FALSE())</f>
        <v>38.4</v>
      </c>
      <c r="F14" s="49">
        <f>VLOOKUP($B14,Unidades!$D$5:$N$23,9,FALSE())</f>
        <v>0</v>
      </c>
      <c r="G14" s="49">
        <f t="shared" si="0"/>
        <v>309.44</v>
      </c>
      <c r="H14" s="50">
        <f t="shared" si="1"/>
        <v>1.5</v>
      </c>
      <c r="I14" s="50">
        <f t="shared" si="2"/>
        <v>1.7999999999999998</v>
      </c>
      <c r="J14" s="50" t="str">
        <f>VLOOKUP($B14,Unidades!$D$5:$N$23,10,FALSE())</f>
        <v>NÃO</v>
      </c>
      <c r="K14" s="50" t="str">
        <f>VLOOKUP($B14,Unidades!$D$5:$N$23,11,FALSE())</f>
        <v>NÃO</v>
      </c>
      <c r="L14" s="50">
        <f t="shared" si="3"/>
        <v>1.6500000000000001</v>
      </c>
      <c r="M14" s="50">
        <f t="shared" si="4"/>
        <v>1.6500000000000001</v>
      </c>
      <c r="N14" s="50">
        <f t="shared" si="5"/>
        <v>30.15</v>
      </c>
      <c r="O14" s="51">
        <f t="shared" si="19"/>
        <v>1523.7809999999999</v>
      </c>
      <c r="P14" s="32"/>
      <c r="Q14" s="53" t="str">
        <f t="shared" si="6"/>
        <v>APS Getúlio Vargas</v>
      </c>
      <c r="R14" s="6">
        <f t="shared" si="20"/>
        <v>75.81</v>
      </c>
      <c r="S14" s="6">
        <f t="shared" si="21"/>
        <v>90.971999999999994</v>
      </c>
      <c r="T14" s="6">
        <f t="shared" si="22"/>
        <v>83.391000000000005</v>
      </c>
      <c r="U14" s="6">
        <f t="shared" si="23"/>
        <v>83.391000000000005</v>
      </c>
      <c r="V14" s="6">
        <f>VLOOKUP(Q14,'Desl. Base Passo Fundo'!$C$5:$S$23,13,FALSE())*($C$29+$D$29+$E$29*(VLOOKUP(Q14,'Desl. Base Passo Fundo'!$C$5:$S$23,17,FALSE())/12))</f>
        <v>72.992527777777781</v>
      </c>
      <c r="W14" s="6">
        <f>VLOOKUP(Q14,'Desl. Base Passo Fundo'!$C$5:$S$23,15,FALSE())*(2+(VLOOKUP(Q14,'Desl. Base Passo Fundo'!$C$5:$S$23,17,FALSE())/12))</f>
        <v>0</v>
      </c>
      <c r="X14" s="6">
        <f>VLOOKUP(Q14,'Desl. Base Passo Fundo'!$C$5:$Q$23,14,FALSE())</f>
        <v>2.4500000000000002</v>
      </c>
      <c r="Y14" s="6">
        <f>VLOOKUP(Q14,'Desl. Base Passo Fundo'!$C$5:$Q$23,13,FALSE())*'Desl. Base Passo Fundo'!$E$28+'Desl. Base Passo Fundo'!$E$29*N14/12</f>
        <v>86.546875</v>
      </c>
      <c r="Z14" s="6">
        <f>(H14/$AC$5)*'Equipe Técnica'!$C$13</f>
        <v>346.49069350613541</v>
      </c>
      <c r="AA14" s="6">
        <f>(I14/$AC$5)*'Equipe Técnica'!$C$13</f>
        <v>415.78883220736247</v>
      </c>
      <c r="AB14" s="6">
        <f>(L14/$AC$5)*'Equipe Técnica'!$C$13</f>
        <v>381.13976285674903</v>
      </c>
      <c r="AC14" s="6">
        <f>(M14/$AC$5)*'Equipe Técnica'!$C$13</f>
        <v>381.13976285674903</v>
      </c>
      <c r="AD14" s="6">
        <f t="shared" si="7"/>
        <v>524.60978999736358</v>
      </c>
      <c r="AE14" s="6">
        <f t="shared" si="8"/>
        <v>609.0699286985905</v>
      </c>
      <c r="AF14" s="6">
        <f t="shared" si="9"/>
        <v>566.83985934797715</v>
      </c>
      <c r="AG14" s="6">
        <f t="shared" si="10"/>
        <v>566.83985934797715</v>
      </c>
      <c r="AI14" s="53" t="str">
        <f t="shared" si="11"/>
        <v>APS Getúlio Vargas</v>
      </c>
      <c r="AJ14" s="63">
        <f>VLOOKUP(AI14,Unidades!D$5:H$23,5,)</f>
        <v>0.2354</v>
      </c>
      <c r="AK14" s="61">
        <f t="shared" si="24"/>
        <v>648.10293456274303</v>
      </c>
      <c r="AL14" s="61">
        <f t="shared" si="25"/>
        <v>752.4449899142387</v>
      </c>
      <c r="AM14" s="61">
        <f t="shared" si="26"/>
        <v>700.27396223849098</v>
      </c>
      <c r="AN14" s="61">
        <f t="shared" si="27"/>
        <v>700.27396223849098</v>
      </c>
      <c r="AO14" s="61">
        <f t="shared" si="28"/>
        <v>1073.9864217604452</v>
      </c>
      <c r="AP14" s="61">
        <f t="shared" si="29"/>
        <v>3221.9592652813353</v>
      </c>
      <c r="AQ14" s="61">
        <f t="shared" si="30"/>
        <v>4295.9456870417807</v>
      </c>
      <c r="AR14" s="65"/>
      <c r="AS14" s="87" t="s">
        <v>78</v>
      </c>
      <c r="AT14" s="231">
        <f>AT10+AT12</f>
        <v>109263.88753538836</v>
      </c>
      <c r="AU14" s="231"/>
      <c r="AV14" s="64"/>
      <c r="AW14" s="64"/>
    </row>
    <row r="15" spans="2:49" s="5" customFormat="1" ht="15" customHeight="1">
      <c r="B15" s="48" t="s">
        <v>211</v>
      </c>
      <c r="C15" s="49">
        <f>VLOOKUP($B15,Unidades!$D$5:$N$23,6,FALSE())</f>
        <v>1100.01</v>
      </c>
      <c r="D15" s="49">
        <f>VLOOKUP($B15,Unidades!$D$5:$N$23,7,FALSE())</f>
        <v>369.82</v>
      </c>
      <c r="E15" s="49">
        <f>VLOOKUP($B15,Unidades!$D$5:$N$23,8,FALSE())</f>
        <v>462.06</v>
      </c>
      <c r="F15" s="49">
        <f>VLOOKUP($B15,Unidades!$D$5:$N$23,9,FALSE())</f>
        <v>268.13</v>
      </c>
      <c r="G15" s="49">
        <f t="shared" si="0"/>
        <v>558.35399999999993</v>
      </c>
      <c r="H15" s="50">
        <f t="shared" si="1"/>
        <v>1.5</v>
      </c>
      <c r="I15" s="50">
        <f t="shared" si="2"/>
        <v>1.7999999999999998</v>
      </c>
      <c r="J15" s="50" t="str">
        <f>VLOOKUP($B15,Unidades!$D$5:$N$23,10,FALSE())</f>
        <v>SIM</v>
      </c>
      <c r="K15" s="50" t="str">
        <f>VLOOKUP($B15,Unidades!$D$5:$N$23,11,FALSE())</f>
        <v>NÃO</v>
      </c>
      <c r="L15" s="50">
        <f t="shared" si="3"/>
        <v>3.6500000000000004</v>
      </c>
      <c r="M15" s="50">
        <f t="shared" si="4"/>
        <v>3.6500000000000004</v>
      </c>
      <c r="N15" s="50">
        <f t="shared" si="5"/>
        <v>36.15</v>
      </c>
      <c r="O15" s="51">
        <f t="shared" si="19"/>
        <v>1827.021</v>
      </c>
      <c r="P15" s="32"/>
      <c r="Q15" s="53" t="str">
        <f t="shared" si="6"/>
        <v>APS Guaporé</v>
      </c>
      <c r="R15" s="6">
        <f t="shared" si="20"/>
        <v>75.81</v>
      </c>
      <c r="S15" s="6">
        <f t="shared" si="21"/>
        <v>90.971999999999994</v>
      </c>
      <c r="T15" s="6">
        <f t="shared" si="22"/>
        <v>184.471</v>
      </c>
      <c r="U15" s="6">
        <f t="shared" si="23"/>
        <v>184.471</v>
      </c>
      <c r="V15" s="6">
        <f>VLOOKUP(Q15,'Desl. Base Passo Fundo'!$C$5:$S$23,13,FALSE())*($C$29+$D$29+$E$29*(VLOOKUP(Q15,'Desl. Base Passo Fundo'!$C$5:$S$23,17,FALSE())/12))</f>
        <v>92.575888888888883</v>
      </c>
      <c r="W15" s="6">
        <f>VLOOKUP(Q15,'Desl. Base Passo Fundo'!$C$5:$S$23,15,FALSE())*(2+(VLOOKUP(Q15,'Desl. Base Passo Fundo'!$C$5:$S$23,17,FALSE())/12))</f>
        <v>0</v>
      </c>
      <c r="X15" s="6">
        <f>VLOOKUP(Q15,'Desl. Base Passo Fundo'!$C$5:$Q$23,14,FALSE())</f>
        <v>0</v>
      </c>
      <c r="Y15" s="6">
        <f>VLOOKUP(Q15,'Desl. Base Passo Fundo'!$C$5:$Q$23,13,FALSE())*'Desl. Base Passo Fundo'!$E$28+'Desl. Base Passo Fundo'!$E$29*N15/12</f>
        <v>108.55687500000001</v>
      </c>
      <c r="Z15" s="6">
        <f>(H15/$AC$5)*'Equipe Técnica'!$C$13</f>
        <v>346.49069350613541</v>
      </c>
      <c r="AA15" s="6">
        <f>(I15/$AC$5)*'Equipe Técnica'!$C$13</f>
        <v>415.78883220736247</v>
      </c>
      <c r="AB15" s="6">
        <f>(L15/$AC$5)*'Equipe Técnica'!$C$13</f>
        <v>843.12735419826299</v>
      </c>
      <c r="AC15" s="6">
        <f>(M15/$AC$5)*'Equipe Técnica'!$C$13</f>
        <v>843.12735419826299</v>
      </c>
      <c r="AD15" s="6">
        <f t="shared" si="7"/>
        <v>549.33191280438109</v>
      </c>
      <c r="AE15" s="6">
        <f t="shared" si="8"/>
        <v>633.79205150560801</v>
      </c>
      <c r="AF15" s="6">
        <f t="shared" si="9"/>
        <v>1154.6295734965086</v>
      </c>
      <c r="AG15" s="6">
        <f t="shared" si="10"/>
        <v>1154.6295734965086</v>
      </c>
      <c r="AI15" s="53" t="str">
        <f t="shared" si="11"/>
        <v>APS Guaporé</v>
      </c>
      <c r="AJ15" s="63">
        <f>VLOOKUP(AI15,Unidades!D$5:H$23,5,)</f>
        <v>0.2223</v>
      </c>
      <c r="AK15" s="61">
        <f t="shared" si="24"/>
        <v>671.44839702079503</v>
      </c>
      <c r="AL15" s="61">
        <f t="shared" si="25"/>
        <v>774.68402455530463</v>
      </c>
      <c r="AM15" s="61">
        <f t="shared" si="26"/>
        <v>1411.3037276847824</v>
      </c>
      <c r="AN15" s="61">
        <f t="shared" si="27"/>
        <v>1411.3037276847824</v>
      </c>
      <c r="AO15" s="61">
        <f t="shared" si="28"/>
        <v>1282.5023371270922</v>
      </c>
      <c r="AP15" s="61">
        <f t="shared" si="29"/>
        <v>3847.5070113812767</v>
      </c>
      <c r="AQ15" s="61">
        <f t="shared" si="30"/>
        <v>5130.0093485083689</v>
      </c>
      <c r="AR15" s="65"/>
      <c r="AS15" s="87" t="s">
        <v>79</v>
      </c>
      <c r="AT15" s="231">
        <f>AT11+AT13</f>
        <v>1311166.6504246604</v>
      </c>
      <c r="AU15" s="231"/>
      <c r="AV15" s="65"/>
      <c r="AW15" s="65"/>
    </row>
    <row r="16" spans="2:49" s="5" customFormat="1" ht="15" customHeight="1">
      <c r="B16" s="48" t="s">
        <v>213</v>
      </c>
      <c r="C16" s="49">
        <f>VLOOKUP($B16,Unidades!$D$5:$N$23,6,FALSE())</f>
        <v>1798.01</v>
      </c>
      <c r="D16" s="49">
        <f>VLOOKUP($B16,Unidades!$D$5:$N$23,7,FALSE())</f>
        <v>530.66</v>
      </c>
      <c r="E16" s="49">
        <f>VLOOKUP($B16,Unidades!$D$5:$N$23,8,FALSE())</f>
        <v>728.84</v>
      </c>
      <c r="F16" s="49">
        <f>VLOOKUP($B16,Unidades!$D$5:$N$23,9,FALSE())</f>
        <v>538.51</v>
      </c>
      <c r="G16" s="49">
        <f t="shared" si="0"/>
        <v>839.6049999999999</v>
      </c>
      <c r="H16" s="50">
        <f t="shared" si="1"/>
        <v>2</v>
      </c>
      <c r="I16" s="50">
        <f t="shared" si="2"/>
        <v>2.4</v>
      </c>
      <c r="J16" s="50" t="str">
        <f>VLOOKUP($B16,Unidades!$D$5:$N$23,10,FALSE())</f>
        <v>NÃO</v>
      </c>
      <c r="K16" s="50" t="str">
        <f>VLOOKUP($B16,Unidades!$D$5:$N$23,11,FALSE())</f>
        <v>NÃO</v>
      </c>
      <c r="L16" s="50">
        <f t="shared" si="3"/>
        <v>2.2000000000000002</v>
      </c>
      <c r="M16" s="50">
        <f t="shared" si="4"/>
        <v>2.2000000000000002</v>
      </c>
      <c r="N16" s="50">
        <f t="shared" si="5"/>
        <v>40.200000000000003</v>
      </c>
      <c r="O16" s="51">
        <f t="shared" si="19"/>
        <v>2031.7080000000001</v>
      </c>
      <c r="P16" s="32"/>
      <c r="Q16" s="53" t="str">
        <f t="shared" si="6"/>
        <v>APS Lagoa Vermelha</v>
      </c>
      <c r="R16" s="6">
        <f t="shared" si="20"/>
        <v>101.08</v>
      </c>
      <c r="S16" s="6">
        <f t="shared" si="21"/>
        <v>121.29599999999999</v>
      </c>
      <c r="T16" s="6">
        <f t="shared" si="22"/>
        <v>111.188</v>
      </c>
      <c r="U16" s="6">
        <f t="shared" si="23"/>
        <v>111.188</v>
      </c>
      <c r="V16" s="6">
        <f>VLOOKUP(Q16,'Desl. Base Passo Fundo'!$C$5:$S$23,13,FALSE())*($C$29+$D$29+$E$29*(VLOOKUP(Q16,'Desl. Base Passo Fundo'!$C$5:$S$23,17,FALSE())/12))</f>
        <v>124.66533333333334</v>
      </c>
      <c r="W16" s="6">
        <f>VLOOKUP(Q16,'Desl. Base Passo Fundo'!$C$5:$S$23,15,FALSE())*(2+(VLOOKUP(Q16,'Desl. Base Passo Fundo'!$C$5:$S$23,17,FALSE())/12))</f>
        <v>0</v>
      </c>
      <c r="X16" s="6">
        <f>VLOOKUP(Q16,'Desl. Base Passo Fundo'!$C$5:$Q$23,14,FALSE())</f>
        <v>0</v>
      </c>
      <c r="Y16" s="6">
        <f>VLOOKUP(Q16,'Desl. Base Passo Fundo'!$C$5:$Q$23,13,FALSE())*'Desl. Base Passo Fundo'!$E$28+'Desl. Base Passo Fundo'!$E$29*N16/12</f>
        <v>147.9725</v>
      </c>
      <c r="Z16" s="6">
        <f>(H16/$AC$5)*'Equipe Técnica'!$C$13</f>
        <v>461.98759134151391</v>
      </c>
      <c r="AA16" s="6">
        <f>(I16/$AC$5)*'Equipe Técnica'!$C$13</f>
        <v>554.38510960981671</v>
      </c>
      <c r="AB16" s="6">
        <f>(L16/$AC$5)*'Equipe Técnica'!$C$13</f>
        <v>508.18635047566534</v>
      </c>
      <c r="AC16" s="6">
        <f>(M16/$AC$5)*'Equipe Técnica'!$C$13</f>
        <v>508.18635047566534</v>
      </c>
      <c r="AD16" s="6">
        <f t="shared" si="7"/>
        <v>735.25990713098759</v>
      </c>
      <c r="AE16" s="6">
        <f t="shared" si="8"/>
        <v>847.87342539929045</v>
      </c>
      <c r="AF16" s="6">
        <f t="shared" si="9"/>
        <v>791.56666626513902</v>
      </c>
      <c r="AG16" s="6">
        <f t="shared" si="10"/>
        <v>791.56666626513902</v>
      </c>
      <c r="AI16" s="53" t="str">
        <f t="shared" si="11"/>
        <v>APS Lagoa Vermelha</v>
      </c>
      <c r="AJ16" s="63">
        <f>VLOOKUP(AI16,Unidades!D$5:H$23,5,)</f>
        <v>0.2354</v>
      </c>
      <c r="AK16" s="61">
        <f t="shared" si="24"/>
        <v>908.34008926962213</v>
      </c>
      <c r="AL16" s="61">
        <f t="shared" si="25"/>
        <v>1047.4628297382835</v>
      </c>
      <c r="AM16" s="61">
        <f t="shared" si="26"/>
        <v>977.90145950395276</v>
      </c>
      <c r="AN16" s="61">
        <f t="shared" si="27"/>
        <v>977.90145950395276</v>
      </c>
      <c r="AO16" s="61">
        <f t="shared" si="28"/>
        <v>1501.9697307250381</v>
      </c>
      <c r="AP16" s="61">
        <f t="shared" si="29"/>
        <v>4505.9091921751142</v>
      </c>
      <c r="AQ16" s="61">
        <f t="shared" si="30"/>
        <v>6007.8789229001522</v>
      </c>
      <c r="AR16" s="65"/>
      <c r="AS16" s="65"/>
      <c r="AT16" s="65"/>
      <c r="AU16" s="65"/>
      <c r="AV16" s="65"/>
      <c r="AW16" s="65"/>
    </row>
    <row r="17" spans="2:49" s="5" customFormat="1" ht="15" customHeight="1">
      <c r="B17" s="48" t="s">
        <v>215</v>
      </c>
      <c r="C17" s="49">
        <f>VLOOKUP($B17,Unidades!$D$5:$N$23,6,FALSE())</f>
        <v>321.99</v>
      </c>
      <c r="D17" s="49">
        <f>VLOOKUP($B17,Unidades!$D$5:$N$23,7,FALSE())</f>
        <v>317.68</v>
      </c>
      <c r="E17" s="49">
        <f>VLOOKUP($B17,Unidades!$D$5:$N$23,8,FALSE())</f>
        <v>4.3099999999999996</v>
      </c>
      <c r="F17" s="49">
        <f>VLOOKUP($B17,Unidades!$D$5:$N$23,9,FALSE())</f>
        <v>0</v>
      </c>
      <c r="G17" s="49">
        <f t="shared" si="0"/>
        <v>319.18850000000003</v>
      </c>
      <c r="H17" s="50">
        <f t="shared" si="1"/>
        <v>1.5</v>
      </c>
      <c r="I17" s="50">
        <f t="shared" si="2"/>
        <v>1.7999999999999998</v>
      </c>
      <c r="J17" s="50" t="str">
        <f>VLOOKUP($B17,Unidades!$D$5:$N$23,10,FALSE())</f>
        <v>NÃO</v>
      </c>
      <c r="K17" s="50" t="str">
        <f>VLOOKUP($B17,Unidades!$D$5:$N$23,11,FALSE())</f>
        <v>SIM</v>
      </c>
      <c r="L17" s="50">
        <f t="shared" si="3"/>
        <v>1.6500000000000001</v>
      </c>
      <c r="M17" s="50">
        <f t="shared" ref="M17:M22" si="31">$M$6*H17+(IF(J17="SIM",$J$6,0))+(IF(K17="SIM",$K$6,0))</f>
        <v>5.65</v>
      </c>
      <c r="N17" s="50">
        <f t="shared" ref="N17:N22" si="32">H17*12+I17*4+L17*2+M17</f>
        <v>34.15</v>
      </c>
      <c r="O17" s="51">
        <f t="shared" si="19"/>
        <v>1920.4704999999999</v>
      </c>
      <c r="P17" s="32"/>
      <c r="Q17" s="53" t="str">
        <f t="shared" si="6"/>
        <v>APS Marau</v>
      </c>
      <c r="R17" s="6">
        <f t="shared" si="20"/>
        <v>75.81</v>
      </c>
      <c r="S17" s="6">
        <f t="shared" si="21"/>
        <v>90.971999999999994</v>
      </c>
      <c r="T17" s="6">
        <f t="shared" si="22"/>
        <v>83.391000000000005</v>
      </c>
      <c r="U17" s="6">
        <f t="shared" si="23"/>
        <v>480.08050000000003</v>
      </c>
      <c r="V17" s="6">
        <f>VLOOKUP(Q17,'Desl. Base Passo Fundo'!$C$5:$S$23,13,FALSE())*($C$29+$D$29+$E$29*(VLOOKUP(Q17,'Desl. Base Passo Fundo'!$C$5:$S$23,17,FALSE())/12))</f>
        <v>62.75577083333333</v>
      </c>
      <c r="W17" s="6">
        <f>VLOOKUP(Q17,'Desl. Base Passo Fundo'!$C$5:$S$23,15,FALSE())*(2+(VLOOKUP(Q17,'Desl. Base Passo Fundo'!$C$5:$S$23,17,FALSE())/12))</f>
        <v>0</v>
      </c>
      <c r="X17" s="6">
        <f>VLOOKUP(Q17,'Desl. Base Passo Fundo'!$C$5:$Q$23,14,FALSE())</f>
        <v>0</v>
      </c>
      <c r="Y17" s="6">
        <f>VLOOKUP(Q17,'Desl. Base Passo Fundo'!$C$5:$Q$23,13,FALSE())*'Desl. Base Passo Fundo'!$E$28+'Desl. Base Passo Fundo'!$E$29*N17/12</f>
        <v>79.174791666666664</v>
      </c>
      <c r="Z17" s="6">
        <f>(H17/$AC$5)*'Equipe Técnica'!$C$13</f>
        <v>346.49069350613541</v>
      </c>
      <c r="AA17" s="6">
        <f>(I17/$AC$5)*'Equipe Técnica'!$C$13</f>
        <v>415.78883220736247</v>
      </c>
      <c r="AB17" s="6">
        <f>(L17/$AC$5)*'Equipe Técnica'!$C$13</f>
        <v>381.13976285674903</v>
      </c>
      <c r="AC17" s="6">
        <f>(M17/$AC$5)*'Equipe Técnica'!$C$13</f>
        <v>1305.114945539777</v>
      </c>
      <c r="AD17" s="6">
        <f t="shared" ref="AD17:AD22" si="33">R17+(($V17+$W17+$X17+$Y17)*12/19)+$Z17</f>
        <v>511.94104876929333</v>
      </c>
      <c r="AE17" s="6">
        <f t="shared" ref="AE17:AE22" si="34">S17+(($V17+$W17+$X17+$Y17)*12/19)+$AA17</f>
        <v>596.40118747052043</v>
      </c>
      <c r="AF17" s="6">
        <f t="shared" ref="AF17:AF22" si="35">T17+(($V17+$W17+$X17+$Y17)*12/19)+$AB17</f>
        <v>554.17111811990696</v>
      </c>
      <c r="AG17" s="6">
        <f t="shared" ref="AG17:AG22" si="36">U17+(($V17+$W17+$X17+$Y17)*12/19)+$AC17</f>
        <v>1874.835800802935</v>
      </c>
      <c r="AI17" s="53" t="str">
        <f t="shared" si="11"/>
        <v>APS Marau</v>
      </c>
      <c r="AJ17" s="63">
        <f>VLOOKUP(AI17,Unidades!D$5:H$23,5,)</f>
        <v>0.2354</v>
      </c>
      <c r="AK17" s="61">
        <f t="shared" si="24"/>
        <v>632.45197164958506</v>
      </c>
      <c r="AL17" s="61">
        <f t="shared" si="25"/>
        <v>736.79402700108096</v>
      </c>
      <c r="AM17" s="61">
        <f t="shared" si="26"/>
        <v>684.62299932533313</v>
      </c>
      <c r="AN17" s="61">
        <f t="shared" si="27"/>
        <v>2316.1721483119459</v>
      </c>
      <c r="AO17" s="61">
        <f t="shared" si="28"/>
        <v>1185.1681595634961</v>
      </c>
      <c r="AP17" s="61">
        <f t="shared" si="29"/>
        <v>3555.5044786904882</v>
      </c>
      <c r="AQ17" s="61">
        <f t="shared" si="30"/>
        <v>4740.6726382539846</v>
      </c>
      <c r="AR17" s="65"/>
      <c r="AS17" s="65"/>
      <c r="AT17" s="65"/>
      <c r="AU17" s="65"/>
      <c r="AV17" s="65"/>
      <c r="AW17" s="65"/>
    </row>
    <row r="18" spans="2:49" s="5" customFormat="1" ht="15" customHeight="1">
      <c r="B18" s="48" t="s">
        <v>217</v>
      </c>
      <c r="C18" s="49">
        <f>VLOOKUP($B18,Unidades!$D$5:$N$23,6,FALSE())</f>
        <v>334.4</v>
      </c>
      <c r="D18" s="49">
        <f>VLOOKUP($B18,Unidades!$D$5:$N$23,7,FALSE())</f>
        <v>296</v>
      </c>
      <c r="E18" s="49">
        <f>VLOOKUP($B18,Unidades!$D$5:$N$23,8,FALSE())</f>
        <v>38.4</v>
      </c>
      <c r="F18" s="49">
        <f>VLOOKUP($B18,Unidades!$D$5:$N$23,9,FALSE())</f>
        <v>0</v>
      </c>
      <c r="G18" s="49">
        <f t="shared" si="0"/>
        <v>309.44</v>
      </c>
      <c r="H18" s="50">
        <f t="shared" si="1"/>
        <v>1.5</v>
      </c>
      <c r="I18" s="50">
        <f t="shared" si="2"/>
        <v>1.7999999999999998</v>
      </c>
      <c r="J18" s="50" t="str">
        <f>VLOOKUP($B18,Unidades!$D$5:$N$23,10,FALSE())</f>
        <v>NÃO</v>
      </c>
      <c r="K18" s="50" t="str">
        <f>VLOOKUP($B18,Unidades!$D$5:$N$23,11,FALSE())</f>
        <v>NÃO</v>
      </c>
      <c r="L18" s="50">
        <f t="shared" si="3"/>
        <v>1.6500000000000001</v>
      </c>
      <c r="M18" s="50">
        <f t="shared" si="31"/>
        <v>1.6500000000000001</v>
      </c>
      <c r="N18" s="50">
        <f t="shared" si="32"/>
        <v>30.15</v>
      </c>
      <c r="O18" s="51">
        <f t="shared" si="19"/>
        <v>1523.7809999999999</v>
      </c>
      <c r="P18" s="32"/>
      <c r="Q18" s="53" t="str">
        <f t="shared" si="6"/>
        <v>APS Sarandi</v>
      </c>
      <c r="R18" s="6">
        <f t="shared" si="20"/>
        <v>75.81</v>
      </c>
      <c r="S18" s="6">
        <f t="shared" si="21"/>
        <v>90.971999999999994</v>
      </c>
      <c r="T18" s="6">
        <f t="shared" si="22"/>
        <v>83.391000000000005</v>
      </c>
      <c r="U18" s="6">
        <f t="shared" si="23"/>
        <v>83.391000000000005</v>
      </c>
      <c r="V18" s="6">
        <f>VLOOKUP(Q18,'Desl. Base Passo Fundo'!$C$5:$S$23,13,FALSE())*($C$29+$D$29+$E$29*(VLOOKUP(Q18,'Desl. Base Passo Fundo'!$C$5:$S$23,17,FALSE())/12))</f>
        <v>126.35</v>
      </c>
      <c r="W18" s="6">
        <f>VLOOKUP(Q18,'Desl. Base Passo Fundo'!$C$5:$S$23,15,FALSE())*(2+(VLOOKUP(Q18,'Desl. Base Passo Fundo'!$C$5:$S$23,17,FALSE())/12))</f>
        <v>0</v>
      </c>
      <c r="X18" s="6">
        <f>VLOOKUP(Q18,'Desl. Base Passo Fundo'!$C$5:$Q$23,14,FALSE())</f>
        <v>0</v>
      </c>
      <c r="Y18" s="6">
        <f>VLOOKUP(Q18,'Desl. Base Passo Fundo'!$C$5:$Q$23,13,FALSE())*'Desl. Base Passo Fundo'!$E$28+'Desl. Base Passo Fundo'!$E$29*N18/12</f>
        <v>143.83687499999999</v>
      </c>
      <c r="Z18" s="6">
        <f>(H18/$AC$5)*'Equipe Técnica'!$C$13</f>
        <v>346.49069350613541</v>
      </c>
      <c r="AA18" s="6">
        <f>(I18/$AC$5)*'Equipe Técnica'!$C$13</f>
        <v>415.78883220736247</v>
      </c>
      <c r="AB18" s="6">
        <f>(L18/$AC$5)*'Equipe Técnica'!$C$13</f>
        <v>381.13976285674903</v>
      </c>
      <c r="AC18" s="6">
        <f>(M18/$AC$5)*'Equipe Técnica'!$C$13</f>
        <v>381.13976285674903</v>
      </c>
      <c r="AD18" s="6">
        <f t="shared" si="33"/>
        <v>592.94503561139857</v>
      </c>
      <c r="AE18" s="6">
        <f t="shared" si="34"/>
        <v>677.4051743126256</v>
      </c>
      <c r="AF18" s="6">
        <f t="shared" si="35"/>
        <v>635.17510496201226</v>
      </c>
      <c r="AG18" s="6">
        <f t="shared" si="36"/>
        <v>635.17510496201226</v>
      </c>
      <c r="AI18" s="53" t="str">
        <f t="shared" si="11"/>
        <v>APS Sarandi</v>
      </c>
      <c r="AJ18" s="63">
        <f>VLOOKUP(AI18,Unidades!D$5:H$23,5,)</f>
        <v>0.26240000000000002</v>
      </c>
      <c r="AK18" s="61">
        <f t="shared" si="24"/>
        <v>748.53381295582949</v>
      </c>
      <c r="AL18" s="61">
        <f t="shared" si="25"/>
        <v>855.15629205225855</v>
      </c>
      <c r="AM18" s="61">
        <f t="shared" si="26"/>
        <v>801.84505250404425</v>
      </c>
      <c r="AN18" s="61">
        <f t="shared" si="27"/>
        <v>801.84505250404425</v>
      </c>
      <c r="AO18" s="61">
        <f t="shared" si="28"/>
        <v>1234.0471734325934</v>
      </c>
      <c r="AP18" s="61">
        <f t="shared" si="29"/>
        <v>3702.1415202977801</v>
      </c>
      <c r="AQ18" s="61">
        <f t="shared" si="30"/>
        <v>4936.1886937303734</v>
      </c>
      <c r="AR18" s="65"/>
      <c r="AS18" s="65"/>
      <c r="AT18" s="65"/>
      <c r="AU18" s="65"/>
      <c r="AV18" s="65"/>
      <c r="AW18" s="65"/>
    </row>
    <row r="19" spans="2:49" s="5" customFormat="1" ht="15" customHeight="1">
      <c r="B19" s="48" t="s">
        <v>219</v>
      </c>
      <c r="C19" s="49">
        <f>VLOOKUP($B19,Unidades!$D$5:$N$23,6,FALSE())</f>
        <v>548.83000000000004</v>
      </c>
      <c r="D19" s="49">
        <f>VLOOKUP($B19,Unidades!$D$5:$N$23,7,FALSE())</f>
        <v>421.87</v>
      </c>
      <c r="E19" s="49">
        <f>VLOOKUP($B19,Unidades!$D$5:$N$23,8,FALSE())</f>
        <v>126.96</v>
      </c>
      <c r="F19" s="49">
        <f>VLOOKUP($B19,Unidades!$D$5:$N$23,9,FALSE())</f>
        <v>0</v>
      </c>
      <c r="G19" s="49">
        <f t="shared" si="0"/>
        <v>466.30599999999998</v>
      </c>
      <c r="H19" s="50">
        <f t="shared" si="1"/>
        <v>1.5</v>
      </c>
      <c r="I19" s="50">
        <f t="shared" si="2"/>
        <v>1.7999999999999998</v>
      </c>
      <c r="J19" s="50" t="str">
        <f>VLOOKUP($B19,Unidades!$D$5:$N$23,10,FALSE())</f>
        <v>NÃO</v>
      </c>
      <c r="K19" s="50" t="str">
        <f>VLOOKUP($B19,Unidades!$D$5:$N$23,11,FALSE())</f>
        <v>SIM</v>
      </c>
      <c r="L19" s="50">
        <f t="shared" si="3"/>
        <v>1.6500000000000001</v>
      </c>
      <c r="M19" s="50">
        <f t="shared" si="31"/>
        <v>5.65</v>
      </c>
      <c r="N19" s="50">
        <f t="shared" si="32"/>
        <v>34.15</v>
      </c>
      <c r="O19" s="51">
        <f t="shared" si="19"/>
        <v>1920.4704999999999</v>
      </c>
      <c r="P19" s="32"/>
      <c r="Q19" s="53" t="str">
        <f t="shared" si="6"/>
        <v>APS Serafina Corrêa</v>
      </c>
      <c r="R19" s="6">
        <f t="shared" si="20"/>
        <v>75.81</v>
      </c>
      <c r="S19" s="6">
        <f t="shared" si="21"/>
        <v>90.971999999999994</v>
      </c>
      <c r="T19" s="6">
        <f t="shared" si="22"/>
        <v>83.391000000000005</v>
      </c>
      <c r="U19" s="6">
        <f t="shared" si="23"/>
        <v>480.08050000000003</v>
      </c>
      <c r="V19" s="6">
        <f>VLOOKUP(Q19,'Desl. Base Passo Fundo'!$C$5:$S$23,13,FALSE())*($C$29+$D$29+$E$29*(VLOOKUP(Q19,'Desl. Base Passo Fundo'!$C$5:$S$23,17,FALSE())/12))</f>
        <v>92.575888888888883</v>
      </c>
      <c r="W19" s="6">
        <f>VLOOKUP(Q19,'Desl. Base Passo Fundo'!$C$5:$S$23,15,FALSE())*(2+(VLOOKUP(Q19,'Desl. Base Passo Fundo'!$C$5:$S$23,17,FALSE())/12))</f>
        <v>0</v>
      </c>
      <c r="X19" s="6">
        <f>VLOOKUP(Q19,'Desl. Base Passo Fundo'!$C$5:$Q$23,14,FALSE())</f>
        <v>0</v>
      </c>
      <c r="Y19" s="6">
        <f>VLOOKUP(Q19,'Desl. Base Passo Fundo'!$C$5:$Q$23,13,FALSE())*'Desl. Base Passo Fundo'!$E$28+'Desl. Base Passo Fundo'!$E$29*N19/12</f>
        <v>107.39854166666667</v>
      </c>
      <c r="Z19" s="6">
        <f>(H19/$AC$5)*'Equipe Técnica'!$C$13</f>
        <v>346.49069350613541</v>
      </c>
      <c r="AA19" s="6">
        <f>(I19/$AC$5)*'Equipe Técnica'!$C$13</f>
        <v>415.78883220736247</v>
      </c>
      <c r="AB19" s="6">
        <f>(L19/$AC$5)*'Equipe Técnica'!$C$13</f>
        <v>381.13976285674903</v>
      </c>
      <c r="AC19" s="6">
        <f>(M19/$AC$5)*'Equipe Técnica'!$C$13</f>
        <v>1305.114945539777</v>
      </c>
      <c r="AD19" s="6">
        <f t="shared" si="33"/>
        <v>548.60033385701263</v>
      </c>
      <c r="AE19" s="6">
        <f t="shared" si="34"/>
        <v>633.06047255823967</v>
      </c>
      <c r="AF19" s="6">
        <f t="shared" si="35"/>
        <v>590.8304032076262</v>
      </c>
      <c r="AG19" s="6">
        <f t="shared" si="36"/>
        <v>1911.4950858906541</v>
      </c>
      <c r="AI19" s="53" t="str">
        <f t="shared" si="11"/>
        <v>APS Serafina Corrêa</v>
      </c>
      <c r="AJ19" s="63">
        <f>VLOOKUP(AI19,Unidades!D$5:H$23,5,)</f>
        <v>0.2288</v>
      </c>
      <c r="AK19" s="61">
        <f t="shared" si="24"/>
        <v>674.1200902434972</v>
      </c>
      <c r="AL19" s="61">
        <f t="shared" si="25"/>
        <v>777.90470867956492</v>
      </c>
      <c r="AM19" s="61">
        <f t="shared" si="26"/>
        <v>726.01239946153112</v>
      </c>
      <c r="AN19" s="61">
        <f t="shared" si="27"/>
        <v>2348.845161542436</v>
      </c>
      <c r="AO19" s="61">
        <f t="shared" si="28"/>
        <v>1250.1608231754772</v>
      </c>
      <c r="AP19" s="61">
        <f t="shared" si="29"/>
        <v>3750.4824695264315</v>
      </c>
      <c r="AQ19" s="61">
        <f t="shared" si="30"/>
        <v>5000.6432927019086</v>
      </c>
      <c r="AR19" s="65"/>
      <c r="AS19" s="65"/>
      <c r="AT19" s="65"/>
      <c r="AU19" s="65"/>
      <c r="AV19" s="65"/>
      <c r="AW19" s="65"/>
    </row>
    <row r="20" spans="2:49" s="5" customFormat="1" ht="15" customHeight="1">
      <c r="B20" s="48" t="s">
        <v>221</v>
      </c>
      <c r="C20" s="49">
        <f>VLOOKUP($B20,Unidades!$D$5:$N$23,6,FALSE())</f>
        <v>2280.63</v>
      </c>
      <c r="D20" s="49">
        <f>VLOOKUP($B20,Unidades!$D$5:$N$23,7,FALSE())</f>
        <v>742.67</v>
      </c>
      <c r="E20" s="49">
        <f>VLOOKUP($B20,Unidades!$D$5:$N$23,8,FALSE())</f>
        <v>1114.42</v>
      </c>
      <c r="F20" s="49">
        <f>VLOOKUP($B20,Unidades!$D$5:$N$23,9,FALSE())</f>
        <v>423.54</v>
      </c>
      <c r="G20" s="49">
        <f t="shared" si="0"/>
        <v>1175.0710000000001</v>
      </c>
      <c r="H20" s="50">
        <f t="shared" si="1"/>
        <v>2</v>
      </c>
      <c r="I20" s="50">
        <f t="shared" si="2"/>
        <v>2.4</v>
      </c>
      <c r="J20" s="50" t="str">
        <f>VLOOKUP($B20,Unidades!$D$5:$N$23,10,FALSE())</f>
        <v>SIM</v>
      </c>
      <c r="K20" s="50" t="str">
        <f>VLOOKUP($B20,Unidades!$D$5:$N$23,11,FALSE())</f>
        <v>SIM</v>
      </c>
      <c r="L20" s="50">
        <f t="shared" si="3"/>
        <v>4.2</v>
      </c>
      <c r="M20" s="50">
        <f t="shared" si="31"/>
        <v>8.1999999999999993</v>
      </c>
      <c r="N20" s="50">
        <f t="shared" si="32"/>
        <v>50.2</v>
      </c>
      <c r="O20" s="51">
        <f t="shared" si="19"/>
        <v>2819.4340000000002</v>
      </c>
      <c r="P20" s="32"/>
      <c r="Q20" s="53" t="str">
        <f t="shared" si="6"/>
        <v>APS Soledade</v>
      </c>
      <c r="R20" s="6">
        <f t="shared" si="20"/>
        <v>101.08</v>
      </c>
      <c r="S20" s="6">
        <f t="shared" si="21"/>
        <v>121.29599999999999</v>
      </c>
      <c r="T20" s="6">
        <f t="shared" si="22"/>
        <v>212.268</v>
      </c>
      <c r="U20" s="6">
        <f t="shared" si="23"/>
        <v>696.75399999999991</v>
      </c>
      <c r="V20" s="6">
        <f>VLOOKUP(Q20,'Desl. Base Passo Fundo'!$C$5:$S$23,13,FALSE())*($C$29+$D$29+$E$29*(VLOOKUP(Q20,'Desl. Base Passo Fundo'!$C$5:$S$23,17,FALSE())/12))</f>
        <v>76.998215277777774</v>
      </c>
      <c r="W20" s="6">
        <f>VLOOKUP(Q20,'Desl. Base Passo Fundo'!$C$5:$S$23,15,FALSE())*(2+(VLOOKUP(Q20,'Desl. Base Passo Fundo'!$C$5:$S$23,17,FALSE())/12))</f>
        <v>0</v>
      </c>
      <c r="X20" s="6">
        <f>VLOOKUP(Q20,'Desl. Base Passo Fundo'!$C$5:$Q$23,14,FALSE())</f>
        <v>0</v>
      </c>
      <c r="Y20" s="6">
        <f>VLOOKUP(Q20,'Desl. Base Passo Fundo'!$C$5:$Q$23,13,FALSE())*'Desl. Base Passo Fundo'!$E$28+'Desl. Base Passo Fundo'!$E$29*N20/12</f>
        <v>101.95041666666667</v>
      </c>
      <c r="Z20" s="6">
        <f>(H20/$AC$5)*'Equipe Técnica'!$C$13</f>
        <v>461.98759134151391</v>
      </c>
      <c r="AA20" s="6">
        <f>(I20/$AC$5)*'Equipe Técnica'!$C$13</f>
        <v>554.38510960981671</v>
      </c>
      <c r="AB20" s="6">
        <f>(L20/$AC$5)*'Equipe Técnica'!$C$13</f>
        <v>970.1739418171793</v>
      </c>
      <c r="AC20" s="6">
        <f>(M20/$AC$5)*'Equipe Técnica'!$C$13</f>
        <v>1894.1491245002071</v>
      </c>
      <c r="AD20" s="6">
        <f t="shared" si="33"/>
        <v>676.08777993800516</v>
      </c>
      <c r="AE20" s="6">
        <f t="shared" si="34"/>
        <v>788.70129820630791</v>
      </c>
      <c r="AF20" s="6">
        <f t="shared" si="35"/>
        <v>1295.4621304136706</v>
      </c>
      <c r="AG20" s="6">
        <f t="shared" si="36"/>
        <v>2703.9233130966982</v>
      </c>
      <c r="AI20" s="53" t="str">
        <f t="shared" si="11"/>
        <v>APS Soledade</v>
      </c>
      <c r="AJ20" s="63">
        <f>VLOOKUP(AI20,Unidades!D$5:H$23,5,)</f>
        <v>0.2223</v>
      </c>
      <c r="AK20" s="61">
        <f t="shared" si="24"/>
        <v>826.38209341822369</v>
      </c>
      <c r="AL20" s="61">
        <f t="shared" si="25"/>
        <v>964.02959679757009</v>
      </c>
      <c r="AM20" s="61">
        <f t="shared" si="26"/>
        <v>1583.4433620046295</v>
      </c>
      <c r="AN20" s="61">
        <f t="shared" si="27"/>
        <v>3305.0054655980939</v>
      </c>
      <c r="AO20" s="61">
        <f t="shared" si="28"/>
        <v>1687.049641484693</v>
      </c>
      <c r="AP20" s="61">
        <f t="shared" si="29"/>
        <v>5061.148924454079</v>
      </c>
      <c r="AQ20" s="61">
        <f t="shared" si="30"/>
        <v>6748.1985659387719</v>
      </c>
      <c r="AR20" s="65"/>
      <c r="AS20" s="65"/>
      <c r="AT20" s="65"/>
      <c r="AU20" s="65"/>
      <c r="AV20" s="65"/>
      <c r="AW20" s="65"/>
    </row>
    <row r="21" spans="2:49" s="5" customFormat="1" ht="15" customHeight="1">
      <c r="B21" s="48" t="s">
        <v>223</v>
      </c>
      <c r="C21" s="49">
        <f>VLOOKUP($B21,Unidades!$D$5:$N$23,6,FALSE())</f>
        <v>3609.84</v>
      </c>
      <c r="D21" s="49">
        <f>VLOOKUP($B21,Unidades!$D$5:$N$23,7,FALSE())</f>
        <v>2780.7</v>
      </c>
      <c r="E21" s="49">
        <f>VLOOKUP($B21,Unidades!$D$5:$N$23,8,FALSE())</f>
        <v>629.53</v>
      </c>
      <c r="F21" s="49">
        <f>VLOOKUP($B21,Unidades!$D$5:$N$23,9,FALSE())</f>
        <v>199.61</v>
      </c>
      <c r="G21" s="49">
        <f t="shared" si="0"/>
        <v>3020.9964999999997</v>
      </c>
      <c r="H21" s="50">
        <f t="shared" si="1"/>
        <v>3</v>
      </c>
      <c r="I21" s="50">
        <f t="shared" si="2"/>
        <v>3.5999999999999996</v>
      </c>
      <c r="J21" s="50" t="str">
        <f>VLOOKUP($B21,Unidades!$D$5:$N$23,10,FALSE())</f>
        <v>NÃO</v>
      </c>
      <c r="K21" s="50" t="str">
        <f>VLOOKUP($B21,Unidades!$D$5:$N$23,11,FALSE())</f>
        <v>SIM</v>
      </c>
      <c r="L21" s="50">
        <f t="shared" si="3"/>
        <v>3.3000000000000003</v>
      </c>
      <c r="M21" s="50">
        <f t="shared" si="31"/>
        <v>7.3000000000000007</v>
      </c>
      <c r="N21" s="50">
        <f t="shared" si="32"/>
        <v>64.3</v>
      </c>
      <c r="O21" s="51">
        <f t="shared" si="19"/>
        <v>3501.0609999999997</v>
      </c>
      <c r="P21" s="32"/>
      <c r="Q21" s="53" t="str">
        <f t="shared" si="6"/>
        <v>GEX/APS Passo Fundo</v>
      </c>
      <c r="R21" s="6">
        <f t="shared" si="20"/>
        <v>151.62</v>
      </c>
      <c r="S21" s="6">
        <f t="shared" si="21"/>
        <v>181.94399999999999</v>
      </c>
      <c r="T21" s="6">
        <f t="shared" si="22"/>
        <v>166.78200000000001</v>
      </c>
      <c r="U21" s="6">
        <f t="shared" si="23"/>
        <v>620.28100000000006</v>
      </c>
      <c r="V21" s="6">
        <f>VLOOKUP(Q21,'Desl. Base Passo Fundo'!$C$5:$S$23,13,FALSE())*($C$29+$D$29+$E$29*(VLOOKUP(Q21,'Desl. Base Passo Fundo'!$C$5:$S$23,17,FALSE())/12))</f>
        <v>43.17240972222222</v>
      </c>
      <c r="W21" s="6">
        <f>VLOOKUP(Q21,'Desl. Base Passo Fundo'!$C$5:$S$23,15,FALSE())*(2+(VLOOKUP(Q21,'Desl. Base Passo Fundo'!$C$5:$S$23,17,FALSE())/12))</f>
        <v>0</v>
      </c>
      <c r="X21" s="6">
        <f>VLOOKUP(Q21,'Desl. Base Passo Fundo'!$C$5:$Q$23,14,FALSE())</f>
        <v>0</v>
      </c>
      <c r="Y21" s="6">
        <f>VLOOKUP(Q21,'Desl. Base Passo Fundo'!$C$5:$Q$23,13,FALSE())*'Desl. Base Passo Fundo'!$E$28+'Desl. Base Passo Fundo'!$E$29*N21/12</f>
        <v>78.101666666666659</v>
      </c>
      <c r="Z21" s="6">
        <f>(H21/$AC$5)*'Equipe Técnica'!$C$13</f>
        <v>692.98138701227083</v>
      </c>
      <c r="AA21" s="6">
        <f>(I21/$AC$5)*'Equipe Técnica'!$C$13</f>
        <v>831.57766441472495</v>
      </c>
      <c r="AB21" s="6">
        <f>(L21/$AC$5)*'Equipe Técnica'!$C$13</f>
        <v>762.27952571349806</v>
      </c>
      <c r="AC21" s="6">
        <f>(M21/$AC$5)*'Equipe Técnica'!$C$13</f>
        <v>1686.254708396526</v>
      </c>
      <c r="AD21" s="6">
        <f t="shared" si="33"/>
        <v>921.19554052104274</v>
      </c>
      <c r="AE21" s="6">
        <f t="shared" si="34"/>
        <v>1090.1158179234969</v>
      </c>
      <c r="AF21" s="6">
        <f t="shared" si="35"/>
        <v>1005.65567922227</v>
      </c>
      <c r="AG21" s="6">
        <f t="shared" si="36"/>
        <v>2383.1298619052977</v>
      </c>
      <c r="AI21" s="53" t="str">
        <f t="shared" si="11"/>
        <v>GEX/APS Passo Fundo</v>
      </c>
      <c r="AJ21" s="63">
        <f>VLOOKUP(AI21,Unidades!D$5:H$23,5,)</f>
        <v>0.2223</v>
      </c>
      <c r="AK21" s="61">
        <f t="shared" si="24"/>
        <v>1125.9773091788704</v>
      </c>
      <c r="AL21" s="61">
        <f t="shared" si="25"/>
        <v>1332.4485642478903</v>
      </c>
      <c r="AM21" s="61">
        <f t="shared" si="26"/>
        <v>1229.2129367133805</v>
      </c>
      <c r="AN21" s="61">
        <f t="shared" si="27"/>
        <v>2912.8996302068454</v>
      </c>
      <c r="AO21" s="61">
        <f t="shared" si="28"/>
        <v>2017.7372892309677</v>
      </c>
      <c r="AP21" s="61">
        <f t="shared" si="29"/>
        <v>6053.2118676929031</v>
      </c>
      <c r="AQ21" s="61">
        <f t="shared" si="30"/>
        <v>8070.9491569238708</v>
      </c>
      <c r="AR21" s="65"/>
      <c r="AS21" s="65"/>
      <c r="AT21" s="65"/>
      <c r="AU21" s="65"/>
      <c r="AV21" s="65"/>
      <c r="AW21" s="65"/>
    </row>
    <row r="22" spans="2:49" s="5" customFormat="1" ht="15" customHeight="1">
      <c r="B22" s="48" t="s">
        <v>225</v>
      </c>
      <c r="C22" s="49">
        <f>VLOOKUP($B22,Unidades!$D$5:$N$23,6,FALSE())</f>
        <v>461.59</v>
      </c>
      <c r="D22" s="49">
        <f>VLOOKUP($B22,Unidades!$D$5:$N$23,7,FALSE())</f>
        <v>294.43</v>
      </c>
      <c r="E22" s="49">
        <f>VLOOKUP($B22,Unidades!$D$5:$N$23,8,FALSE())</f>
        <v>167.16</v>
      </c>
      <c r="F22" s="49">
        <f>VLOOKUP($B22,Unidades!$D$5:$N$23,9,FALSE())</f>
        <v>0</v>
      </c>
      <c r="G22" s="49">
        <f t="shared" si="0"/>
        <v>352.93599999999998</v>
      </c>
      <c r="H22" s="50">
        <f t="shared" si="1"/>
        <v>1.5</v>
      </c>
      <c r="I22" s="50">
        <f t="shared" si="2"/>
        <v>1.7999999999999998</v>
      </c>
      <c r="J22" s="50" t="str">
        <f>VLOOKUP($B22,Unidades!$D$5:$N$23,10,FALSE())</f>
        <v>NÃO</v>
      </c>
      <c r="K22" s="50" t="str">
        <f>VLOOKUP($B22,Unidades!$D$5:$N$23,11,FALSE())</f>
        <v>SIM</v>
      </c>
      <c r="L22" s="50">
        <f t="shared" si="3"/>
        <v>1.6500000000000001</v>
      </c>
      <c r="M22" s="50">
        <f t="shared" si="31"/>
        <v>5.65</v>
      </c>
      <c r="N22" s="50">
        <f t="shared" si="32"/>
        <v>34.15</v>
      </c>
      <c r="O22" s="51">
        <f t="shared" si="19"/>
        <v>1920.4704999999999</v>
      </c>
      <c r="P22" s="32"/>
      <c r="Q22" s="53" t="str">
        <f t="shared" si="6"/>
        <v>APS Candelária</v>
      </c>
      <c r="R22" s="6">
        <f t="shared" si="20"/>
        <v>75.81</v>
      </c>
      <c r="S22" s="6">
        <f t="shared" si="21"/>
        <v>90.971999999999994</v>
      </c>
      <c r="T22" s="6">
        <f t="shared" si="22"/>
        <v>83.391000000000005</v>
      </c>
      <c r="U22" s="6">
        <f t="shared" si="23"/>
        <v>480.08050000000003</v>
      </c>
      <c r="V22" s="6">
        <f>VLOOKUP(Q22,'Desl. Base Passo Fundo'!$C$5:$S$23,13,FALSE())*($C$29+$D$29+$E$29*(VLOOKUP(Q22,'Desl. Base Passo Fundo'!$C$5:$S$23,17,FALSE())/12))</f>
        <v>175.80517361111109</v>
      </c>
      <c r="W22" s="6">
        <f>VLOOKUP(Q22,'Desl. Base Passo Fundo'!$C$5:$S$23,15,FALSE())*(2+(VLOOKUP(Q22,'Desl. Base Passo Fundo'!$C$5:$S$23,17,FALSE())/12))</f>
        <v>138.27083333333334</v>
      </c>
      <c r="X22" s="6">
        <f>VLOOKUP(Q22,'Desl. Base Passo Fundo'!$C$5:$Q$23,14,FALSE())</f>
        <v>0</v>
      </c>
      <c r="Y22" s="6">
        <f>VLOOKUP(Q22,'Desl. Base Passo Fundo'!$C$5:$Q$23,13,FALSE())*'Desl. Base Passo Fundo'!$E$28+'Desl. Base Passo Fundo'!$E$29*N22/12</f>
        <v>186.17229166666664</v>
      </c>
      <c r="Z22" s="6">
        <f>(H22/$AC$5)*'Equipe Técnica'!$C$13</f>
        <v>346.49069350613541</v>
      </c>
      <c r="AA22" s="6">
        <f>(I22/$AC$5)*'Equipe Técnica'!$C$13</f>
        <v>415.78883220736247</v>
      </c>
      <c r="AB22" s="6">
        <f>(L22/$AC$5)*'Equipe Técnica'!$C$13</f>
        <v>381.13976285674903</v>
      </c>
      <c r="AC22" s="6">
        <f>(M22/$AC$5)*'Equipe Técnica'!$C$13</f>
        <v>1305.114945539777</v>
      </c>
      <c r="AD22" s="6">
        <f t="shared" si="33"/>
        <v>738.24698736578443</v>
      </c>
      <c r="AE22" s="6">
        <f t="shared" si="34"/>
        <v>822.70712606701159</v>
      </c>
      <c r="AF22" s="6">
        <f t="shared" si="35"/>
        <v>780.47705671639812</v>
      </c>
      <c r="AG22" s="6">
        <f t="shared" si="36"/>
        <v>2101.1417393994261</v>
      </c>
      <c r="AI22" s="53" t="str">
        <f t="shared" si="11"/>
        <v>APS Candelária</v>
      </c>
      <c r="AJ22" s="63">
        <f>VLOOKUP(AI22,Unidades!D$5:H$23,5,)</f>
        <v>0.2223</v>
      </c>
      <c r="AK22" s="61">
        <f t="shared" si="24"/>
        <v>902.35929265719824</v>
      </c>
      <c r="AL22" s="61">
        <f t="shared" si="25"/>
        <v>1005.5949201917082</v>
      </c>
      <c r="AM22" s="61">
        <f t="shared" si="26"/>
        <v>953.97710642445338</v>
      </c>
      <c r="AN22" s="61">
        <f t="shared" si="27"/>
        <v>2568.2255480679182</v>
      </c>
      <c r="AO22" s="61">
        <f t="shared" si="28"/>
        <v>1610.5725794641701</v>
      </c>
      <c r="AP22" s="61">
        <f t="shared" si="29"/>
        <v>4831.71773839251</v>
      </c>
      <c r="AQ22" s="61">
        <f t="shared" si="30"/>
        <v>6442.2903178566803</v>
      </c>
      <c r="AR22" s="65"/>
      <c r="AS22" s="65"/>
      <c r="AT22" s="65"/>
      <c r="AU22" s="65"/>
      <c r="AV22" s="65"/>
      <c r="AW22" s="65"/>
    </row>
    <row r="23" spans="2:49" s="5" customFormat="1" ht="15" customHeight="1">
      <c r="B23" s="48" t="s">
        <v>227</v>
      </c>
      <c r="C23" s="49">
        <f>VLOOKUP($B23,Unidades!$D$5:$N$23,6,FALSE())</f>
        <v>2111.12</v>
      </c>
      <c r="D23" s="49">
        <f>VLOOKUP($B23,Unidades!$D$5:$N$23,7,FALSE())</f>
        <v>689.74</v>
      </c>
      <c r="E23" s="49">
        <f>VLOOKUP($B23,Unidades!$D$5:$N$23,8,FALSE())</f>
        <v>1262.17</v>
      </c>
      <c r="F23" s="49">
        <f>VLOOKUP($B23,Unidades!$D$5:$N$23,9,FALSE())</f>
        <v>159.21</v>
      </c>
      <c r="G23" s="49">
        <f t="shared" ref="G23:G25" si="37">D23+E23*$E$6+F23*$F$6</f>
        <v>1147.4204999999999</v>
      </c>
      <c r="H23" s="50">
        <f t="shared" ref="H23:H25" si="38">IF(G23&lt;750,1.5,IF(G23&lt;2000,2,3))</f>
        <v>2</v>
      </c>
      <c r="I23" s="50">
        <f t="shared" ref="I23:I25" si="39">$I$6*H23</f>
        <v>2.4</v>
      </c>
      <c r="J23" s="50" t="str">
        <f>VLOOKUP($B23,Unidades!$D$5:$N$23,10,FALSE())</f>
        <v>NÃO</v>
      </c>
      <c r="K23" s="50" t="str">
        <f>VLOOKUP($B23,Unidades!$D$5:$N$23,11,FALSE())</f>
        <v>SIM</v>
      </c>
      <c r="L23" s="50">
        <f t="shared" ref="L23:L25" si="40">$L$6*H23+(IF(J23="SIM",$J$6,0))</f>
        <v>2.2000000000000002</v>
      </c>
      <c r="M23" s="50">
        <f t="shared" ref="M23:M25" si="41">$M$6*H23+(IF(J23="SIM",$J$6,0))+(IF(K23="SIM",$K$6,0))</f>
        <v>6.2</v>
      </c>
      <c r="N23" s="50">
        <f t="shared" ref="N23:N25" si="42">H23*12+I23*4+L23*2+M23</f>
        <v>44.2</v>
      </c>
      <c r="O23" s="51">
        <f t="shared" si="19"/>
        <v>2447.3339999999998</v>
      </c>
      <c r="P23" s="32"/>
      <c r="Q23" s="53" t="str">
        <f t="shared" si="6"/>
        <v>APS Santa Cruz do Sul</v>
      </c>
      <c r="R23" s="6">
        <f t="shared" si="20"/>
        <v>101.08</v>
      </c>
      <c r="S23" s="6">
        <f t="shared" si="21"/>
        <v>121.29599999999999</v>
      </c>
      <c r="T23" s="6">
        <f t="shared" si="22"/>
        <v>111.188</v>
      </c>
      <c r="U23" s="6">
        <f t="shared" si="23"/>
        <v>526.81399999999996</v>
      </c>
      <c r="V23" s="6">
        <f>VLOOKUP(Q23,'Desl. Base Passo Fundo'!$C$5:$S$23,13,FALSE())*($C$29+$D$29+$E$29*(VLOOKUP(Q23,'Desl. Base Passo Fundo'!$C$5:$S$23,17,FALSE())/12))</f>
        <v>175.80517361111109</v>
      </c>
      <c r="W23" s="6">
        <f>VLOOKUP(Q23,'Desl. Base Passo Fundo'!$C$5:$S$23,15,FALSE())*(2+(VLOOKUP(Q23,'Desl. Base Passo Fundo'!$C$5:$S$23,17,FALSE())/12))</f>
        <v>138.27083333333334</v>
      </c>
      <c r="X23" s="6">
        <f>VLOOKUP(Q23,'Desl. Base Passo Fundo'!$C$5:$Q$23,14,FALSE())</f>
        <v>16.399999999999999</v>
      </c>
      <c r="Y23" s="6">
        <f>VLOOKUP(Q23,'Desl. Base Passo Fundo'!$C$5:$Q$23,13,FALSE())*'Desl. Base Passo Fundo'!$E$28+'Desl. Base Passo Fundo'!$E$29*N23/12</f>
        <v>191.99291666666664</v>
      </c>
      <c r="Z23" s="6">
        <f>(H23/$AC$5)*'Equipe Técnica'!$C$13</f>
        <v>461.98759134151391</v>
      </c>
      <c r="AA23" s="6">
        <f>(I23/$AC$5)*'Equipe Técnica'!$C$13</f>
        <v>554.38510960981671</v>
      </c>
      <c r="AB23" s="6">
        <f>(L23/$AC$5)*'Equipe Técnica'!$C$13</f>
        <v>508.18635047566534</v>
      </c>
      <c r="AC23" s="6">
        <f>(M23/$AC$5)*'Equipe Técnica'!$C$13</f>
        <v>1432.1615331586934</v>
      </c>
      <c r="AD23" s="6">
        <f t="shared" ref="AD23:AD25" si="43">R23+(($V23+$W23+$X23+$Y23)*12/19)+$Z23</f>
        <v>893.04796414853138</v>
      </c>
      <c r="AE23" s="6">
        <f t="shared" ref="AE23:AE25" si="44">S23+(($V23+$W23+$X23+$Y23)*12/19)+$AA23</f>
        <v>1005.6614824168341</v>
      </c>
      <c r="AF23" s="6">
        <f t="shared" ref="AF23:AF25" si="45">T23+(($V23+$W23+$X23+$Y23)*12/19)+$AB23</f>
        <v>949.35472328268281</v>
      </c>
      <c r="AG23" s="6">
        <f t="shared" ref="AG23:AG25" si="46">U23+(($V23+$W23+$X23+$Y23)*12/19)+$AC23</f>
        <v>2288.9559059657108</v>
      </c>
      <c r="AI23" s="53" t="str">
        <f t="shared" ref="AI23:AI25" si="47">B23</f>
        <v>APS Santa Cruz do Sul</v>
      </c>
      <c r="AJ23" s="63">
        <f>VLOOKUP(AI23,Unidades!D$5:H$23,5,)</f>
        <v>0.2223</v>
      </c>
      <c r="AK23" s="61">
        <f t="shared" si="24"/>
        <v>1091.5725265787498</v>
      </c>
      <c r="AL23" s="61">
        <f t="shared" si="25"/>
        <v>1229.2200299580963</v>
      </c>
      <c r="AM23" s="61">
        <f t="shared" si="26"/>
        <v>1160.3962782684232</v>
      </c>
      <c r="AN23" s="61">
        <f t="shared" si="27"/>
        <v>2797.7908038618884</v>
      </c>
      <c r="AO23" s="61">
        <f t="shared" si="28"/>
        <v>1927.8611499313431</v>
      </c>
      <c r="AP23" s="61">
        <f t="shared" si="29"/>
        <v>5783.5834497940295</v>
      </c>
      <c r="AQ23" s="61">
        <f t="shared" si="30"/>
        <v>7711.4445997253724</v>
      </c>
      <c r="AR23" s="65"/>
      <c r="AS23" s="65"/>
      <c r="AT23" s="65"/>
      <c r="AU23" s="65"/>
      <c r="AV23" s="65"/>
      <c r="AW23" s="65"/>
    </row>
    <row r="24" spans="2:49" s="5" customFormat="1" ht="15" customHeight="1">
      <c r="B24" s="48" t="s">
        <v>229</v>
      </c>
      <c r="C24" s="49">
        <f>VLOOKUP($B24,Unidades!$D$5:$N$23,6,FALSE())</f>
        <v>949.02</v>
      </c>
      <c r="D24" s="49">
        <f>VLOOKUP($B24,Unidades!$D$5:$N$23,7,FALSE())</f>
        <v>332.74</v>
      </c>
      <c r="E24" s="49">
        <f>VLOOKUP($B24,Unidades!$D$5:$N$23,8,FALSE())</f>
        <v>616.28</v>
      </c>
      <c r="F24" s="49">
        <f>VLOOKUP($B24,Unidades!$D$5:$N$23,9,FALSE())</f>
        <v>0</v>
      </c>
      <c r="G24" s="49">
        <f t="shared" si="37"/>
        <v>548.43799999999999</v>
      </c>
      <c r="H24" s="50">
        <f t="shared" si="38"/>
        <v>1.5</v>
      </c>
      <c r="I24" s="50">
        <f t="shared" si="39"/>
        <v>1.7999999999999998</v>
      </c>
      <c r="J24" s="50" t="str">
        <f>VLOOKUP($B24,Unidades!$D$5:$N$23,10,FALSE())</f>
        <v>NÃO</v>
      </c>
      <c r="K24" s="50" t="str">
        <f>VLOOKUP($B24,Unidades!$D$5:$N$23,11,FALSE())</f>
        <v>NÃO</v>
      </c>
      <c r="L24" s="50">
        <f t="shared" si="40"/>
        <v>1.6500000000000001</v>
      </c>
      <c r="M24" s="50">
        <f t="shared" si="41"/>
        <v>1.6500000000000001</v>
      </c>
      <c r="N24" s="50">
        <f t="shared" si="42"/>
        <v>30.15</v>
      </c>
      <c r="O24" s="51">
        <f t="shared" si="19"/>
        <v>1523.7809999999999</v>
      </c>
      <c r="P24" s="32"/>
      <c r="Q24" s="53" t="str">
        <f t="shared" si="6"/>
        <v>APS Sobradinho</v>
      </c>
      <c r="R24" s="6">
        <f t="shared" si="20"/>
        <v>75.81</v>
      </c>
      <c r="S24" s="6">
        <f t="shared" si="21"/>
        <v>90.971999999999994</v>
      </c>
      <c r="T24" s="6">
        <f t="shared" si="22"/>
        <v>83.391000000000005</v>
      </c>
      <c r="U24" s="6">
        <f t="shared" si="23"/>
        <v>83.391000000000005</v>
      </c>
      <c r="V24" s="6">
        <f>VLOOKUP(Q24,'Desl. Base Passo Fundo'!$C$5:$S$23,13,FALSE())*($C$29+$D$29+$E$29*(VLOOKUP(Q24,'Desl. Base Passo Fundo'!$C$5:$S$23,17,FALSE())/12))</f>
        <v>175.80517361111109</v>
      </c>
      <c r="W24" s="6">
        <f>VLOOKUP(Q24,'Desl. Base Passo Fundo'!$C$5:$S$23,15,FALSE())*(2+(VLOOKUP(Q24,'Desl. Base Passo Fundo'!$C$5:$S$23,17,FALSE())/12))</f>
        <v>138.27083333333334</v>
      </c>
      <c r="X24" s="6">
        <f>VLOOKUP(Q24,'Desl. Base Passo Fundo'!$C$5:$Q$23,14,FALSE())</f>
        <v>0</v>
      </c>
      <c r="Y24" s="6">
        <f>VLOOKUP(Q24,'Desl. Base Passo Fundo'!$C$5:$Q$23,13,FALSE())*'Desl. Base Passo Fundo'!$E$28+'Desl. Base Passo Fundo'!$E$29*N24/12</f>
        <v>183.85562499999997</v>
      </c>
      <c r="Z24" s="6">
        <f>(H24/$AC$5)*'Equipe Técnica'!$C$13</f>
        <v>346.49069350613541</v>
      </c>
      <c r="AA24" s="6">
        <f>(I24/$AC$5)*'Equipe Técnica'!$C$13</f>
        <v>415.78883220736247</v>
      </c>
      <c r="AB24" s="6">
        <f>(L24/$AC$5)*'Equipe Técnica'!$C$13</f>
        <v>381.13976285674903</v>
      </c>
      <c r="AC24" s="6">
        <f>(M24/$AC$5)*'Equipe Técnica'!$C$13</f>
        <v>381.13976285674903</v>
      </c>
      <c r="AD24" s="6">
        <f t="shared" si="43"/>
        <v>736.78382947104774</v>
      </c>
      <c r="AE24" s="6">
        <f t="shared" si="44"/>
        <v>821.24396817227466</v>
      </c>
      <c r="AF24" s="6">
        <f t="shared" si="45"/>
        <v>779.01389882166131</v>
      </c>
      <c r="AG24" s="6">
        <f t="shared" si="46"/>
        <v>779.01389882166131</v>
      </c>
      <c r="AI24" s="53" t="str">
        <f t="shared" si="47"/>
        <v>APS Sobradinho</v>
      </c>
      <c r="AJ24" s="63">
        <f>VLOOKUP(AI24,Unidades!D$5:H$23,5,)</f>
        <v>0.2288</v>
      </c>
      <c r="AK24" s="61">
        <f t="shared" si="24"/>
        <v>905.35996965402353</v>
      </c>
      <c r="AL24" s="61">
        <f t="shared" si="25"/>
        <v>1009.1445880900912</v>
      </c>
      <c r="AM24" s="61">
        <f t="shared" si="26"/>
        <v>957.25227887205756</v>
      </c>
      <c r="AN24" s="61">
        <f t="shared" si="27"/>
        <v>957.25227887205756</v>
      </c>
      <c r="AO24" s="61">
        <f t="shared" si="28"/>
        <v>1481.0545687354015</v>
      </c>
      <c r="AP24" s="61">
        <f t="shared" si="29"/>
        <v>4443.1637062062046</v>
      </c>
      <c r="AQ24" s="61">
        <f t="shared" si="30"/>
        <v>5924.2182749416061</v>
      </c>
      <c r="AR24" s="65"/>
      <c r="AS24" s="65"/>
      <c r="AT24" s="65"/>
      <c r="AU24" s="65"/>
      <c r="AV24" s="65"/>
      <c r="AW24" s="65"/>
    </row>
    <row r="25" spans="2:49" s="5" customFormat="1" ht="15" customHeight="1">
      <c r="B25" s="48" t="s">
        <v>231</v>
      </c>
      <c r="C25" s="49">
        <f>VLOOKUP($B25,Unidades!$D$5:$N$23,6,FALSE())</f>
        <v>950.51</v>
      </c>
      <c r="D25" s="49">
        <f>VLOOKUP($B25,Unidades!$D$5:$N$23,7,FALSE())</f>
        <v>387.48</v>
      </c>
      <c r="E25" s="49">
        <f>VLOOKUP($B25,Unidades!$D$5:$N$23,8,FALSE())</f>
        <v>524.38</v>
      </c>
      <c r="F25" s="49">
        <f>VLOOKUP($B25,Unidades!$D$5:$N$23,9,FALSE())</f>
        <v>38.65</v>
      </c>
      <c r="G25" s="49">
        <f t="shared" si="37"/>
        <v>574.87800000000004</v>
      </c>
      <c r="H25" s="50">
        <f t="shared" si="38"/>
        <v>1.5</v>
      </c>
      <c r="I25" s="50">
        <f t="shared" si="39"/>
        <v>1.7999999999999998</v>
      </c>
      <c r="J25" s="50" t="str">
        <f>VLOOKUP($B25,Unidades!$D$5:$N$23,10,FALSE())</f>
        <v>NÃO</v>
      </c>
      <c r="K25" s="50" t="str">
        <f>VLOOKUP($B25,Unidades!$D$5:$N$23,11,FALSE())</f>
        <v>SIM</v>
      </c>
      <c r="L25" s="50">
        <f t="shared" si="40"/>
        <v>1.6500000000000001</v>
      </c>
      <c r="M25" s="50">
        <f t="shared" si="41"/>
        <v>5.65</v>
      </c>
      <c r="N25" s="50">
        <f t="shared" si="42"/>
        <v>34.15</v>
      </c>
      <c r="O25" s="51">
        <f t="shared" si="19"/>
        <v>1920.4704999999999</v>
      </c>
      <c r="P25" s="32"/>
      <c r="Q25" s="53" t="str">
        <f t="shared" si="6"/>
        <v>APS Venâncio Aires</v>
      </c>
      <c r="R25" s="6">
        <f t="shared" si="20"/>
        <v>75.81</v>
      </c>
      <c r="S25" s="6">
        <f t="shared" si="21"/>
        <v>90.971999999999994</v>
      </c>
      <c r="T25" s="6">
        <f t="shared" si="22"/>
        <v>83.391000000000005</v>
      </c>
      <c r="U25" s="6">
        <f t="shared" si="23"/>
        <v>480.08050000000003</v>
      </c>
      <c r="V25" s="6">
        <f>VLOOKUP(Q25,'Desl. Base Passo Fundo'!$C$5:$S$23,13,FALSE())*($C$29+$D$29+$E$29*(VLOOKUP(Q25,'Desl. Base Passo Fundo'!$C$5:$S$23,17,FALSE())/12))</f>
        <v>175.80517361111109</v>
      </c>
      <c r="W25" s="6">
        <f>VLOOKUP(Q25,'Desl. Base Passo Fundo'!$C$5:$S$23,15,FALSE())*(2+(VLOOKUP(Q25,'Desl. Base Passo Fundo'!$C$5:$S$23,17,FALSE())/12))</f>
        <v>138.27083333333334</v>
      </c>
      <c r="X25" s="6">
        <f>VLOOKUP(Q25,'Desl. Base Passo Fundo'!$C$5:$Q$23,14,FALSE())</f>
        <v>16.399999999999999</v>
      </c>
      <c r="Y25" s="6">
        <f>VLOOKUP(Q25,'Desl. Base Passo Fundo'!$C$5:$Q$23,13,FALSE())*'Desl. Base Passo Fundo'!$E$28+'Desl. Base Passo Fundo'!$E$29*N25/12</f>
        <v>186.17229166666664</v>
      </c>
      <c r="Z25" s="6">
        <f>(H25/$AC$5)*'Equipe Técnica'!$C$13</f>
        <v>346.49069350613541</v>
      </c>
      <c r="AA25" s="6">
        <f>(I25/$AC$5)*'Equipe Técnica'!$C$13</f>
        <v>415.78883220736247</v>
      </c>
      <c r="AB25" s="6">
        <f>(L25/$AC$5)*'Equipe Técnica'!$C$13</f>
        <v>381.13976285674903</v>
      </c>
      <c r="AC25" s="6">
        <f>(M25/$AC$5)*'Equipe Técnica'!$C$13</f>
        <v>1305.114945539777</v>
      </c>
      <c r="AD25" s="6">
        <f t="shared" si="43"/>
        <v>748.60488210262656</v>
      </c>
      <c r="AE25" s="6">
        <f t="shared" si="44"/>
        <v>833.06502080385371</v>
      </c>
      <c r="AF25" s="6">
        <f t="shared" si="45"/>
        <v>790.83495145324025</v>
      </c>
      <c r="AG25" s="6">
        <f t="shared" si="46"/>
        <v>2111.4996341362685</v>
      </c>
      <c r="AI25" s="53" t="str">
        <f t="shared" si="47"/>
        <v>APS Venâncio Aires</v>
      </c>
      <c r="AJ25" s="63">
        <f>VLOOKUP(AI25,Unidades!D$5:H$23,5,)</f>
        <v>0.2354</v>
      </c>
      <c r="AK25" s="61">
        <f t="shared" si="24"/>
        <v>924.82647134958495</v>
      </c>
      <c r="AL25" s="61">
        <f t="shared" si="25"/>
        <v>1029.168526701081</v>
      </c>
      <c r="AM25" s="61">
        <f t="shared" si="26"/>
        <v>976.99749902533301</v>
      </c>
      <c r="AN25" s="61">
        <f t="shared" si="27"/>
        <v>2608.5466480119462</v>
      </c>
      <c r="AO25" s="61">
        <f t="shared" si="28"/>
        <v>1648.0944507551628</v>
      </c>
      <c r="AP25" s="61">
        <f t="shared" si="29"/>
        <v>4944.2833522654882</v>
      </c>
      <c r="AQ25" s="61">
        <f t="shared" si="30"/>
        <v>6592.3778030206513</v>
      </c>
      <c r="AR25" s="65"/>
      <c r="AS25" s="65"/>
      <c r="AT25" s="65"/>
      <c r="AU25" s="65"/>
      <c r="AV25" s="65"/>
      <c r="AW25" s="65"/>
    </row>
    <row r="26" spans="2:49" s="2" customFormat="1" ht="20.100000000000001" customHeight="1">
      <c r="B26" s="136" t="s">
        <v>80</v>
      </c>
      <c r="C26" s="80">
        <f t="shared" ref="C26:I26" si="48">SUM(C7:C25)</f>
        <v>24888.929999999997</v>
      </c>
      <c r="D26" s="80">
        <f t="shared" ref="D26" si="49">SUM(D7:D25)</f>
        <v>11948.669999999998</v>
      </c>
      <c r="E26" s="80">
        <f t="shared" ref="E26" si="50">SUM(E7:E25)</f>
        <v>9176.5099999999984</v>
      </c>
      <c r="F26" s="80">
        <f t="shared" ref="F26" si="51">SUM(F7:F25)</f>
        <v>3763.75</v>
      </c>
      <c r="G26" s="80">
        <f t="shared" ref="G26" si="52">SUM(G7:G25)</f>
        <v>15536.8235</v>
      </c>
      <c r="H26" s="81">
        <f t="shared" si="48"/>
        <v>33</v>
      </c>
      <c r="I26" s="81">
        <f t="shared" si="48"/>
        <v>39.599999999999987</v>
      </c>
      <c r="J26" s="81">
        <f>COUNTIF(J7:J25,"SIM")</f>
        <v>3</v>
      </c>
      <c r="K26" s="81">
        <f>COUNTIF(K7:K25,"SIM")</f>
        <v>11</v>
      </c>
      <c r="L26" s="81">
        <f>SUM(L7:L25)</f>
        <v>42.29999999999999</v>
      </c>
      <c r="M26" s="81">
        <f>SUM(M7:M25)</f>
        <v>86.300000000000011</v>
      </c>
      <c r="N26" s="81">
        <f>SUM(N7:N25)</f>
        <v>725.29999999999984</v>
      </c>
      <c r="O26" s="82">
        <f>SUM(O7:O25)</f>
        <v>39066.76200000001</v>
      </c>
      <c r="P26" s="33"/>
      <c r="Q26" s="81" t="s">
        <v>80</v>
      </c>
      <c r="R26" s="85">
        <f t="shared" ref="R26:AG26" si="53">SUM(R7:R25)</f>
        <v>1667.8199999999997</v>
      </c>
      <c r="S26" s="85">
        <f t="shared" si="53"/>
        <v>2001.3839999999998</v>
      </c>
      <c r="T26" s="85">
        <f t="shared" si="53"/>
        <v>2137.8420000000006</v>
      </c>
      <c r="U26" s="85">
        <f t="shared" si="53"/>
        <v>6771.7020000000002</v>
      </c>
      <c r="V26" s="85">
        <f t="shared" si="53"/>
        <v>2010.8913194444442</v>
      </c>
      <c r="W26" s="85">
        <f t="shared" si="53"/>
        <v>553.08333333333337</v>
      </c>
      <c r="X26" s="85">
        <f t="shared" si="53"/>
        <v>37.699999999999996</v>
      </c>
      <c r="Y26" s="85">
        <f t="shared" si="53"/>
        <v>2343.4970833333332</v>
      </c>
      <c r="Z26" s="85">
        <f t="shared" si="53"/>
        <v>7622.7952571349779</v>
      </c>
      <c r="AA26" s="85">
        <f t="shared" si="53"/>
        <v>9147.3543085619749</v>
      </c>
      <c r="AB26" s="85">
        <f t="shared" si="53"/>
        <v>9771.0375568730196</v>
      </c>
      <c r="AC26" s="85">
        <f t="shared" si="53"/>
        <v>19934.76456638633</v>
      </c>
      <c r="AD26" s="85">
        <f t="shared" si="53"/>
        <v>12413.881616784103</v>
      </c>
      <c r="AE26" s="85">
        <f t="shared" si="53"/>
        <v>14272.004668211097</v>
      </c>
      <c r="AF26" s="85">
        <f t="shared" si="53"/>
        <v>15032.14591652214</v>
      </c>
      <c r="AG26" s="85">
        <f t="shared" si="53"/>
        <v>29829.732926035449</v>
      </c>
      <c r="AI26" s="232" t="s">
        <v>80</v>
      </c>
      <c r="AJ26" s="232"/>
      <c r="AK26" s="86">
        <f t="shared" ref="AK26:AQ26" si="54">SUM(AK7:AK25)</f>
        <v>15302.932531206032</v>
      </c>
      <c r="AL26" s="86">
        <f t="shared" si="54"/>
        <v>17593.829333338115</v>
      </c>
      <c r="AM26" s="86">
        <f t="shared" si="54"/>
        <v>18520.469668408845</v>
      </c>
      <c r="AN26" s="86">
        <f t="shared" si="54"/>
        <v>36740.215561522578</v>
      </c>
      <c r="AO26" s="86">
        <f t="shared" si="54"/>
        <v>27315.971883847091</v>
      </c>
      <c r="AP26" s="86">
        <f t="shared" si="54"/>
        <v>81947.915651541276</v>
      </c>
      <c r="AQ26" s="86">
        <f t="shared" si="54"/>
        <v>109263.88753538836</v>
      </c>
    </row>
    <row r="27" spans="2:49" ht="18.399999999999999" customHeight="1">
      <c r="H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27"/>
      <c r="AE27" s="27"/>
      <c r="AF27" s="27"/>
      <c r="AG27" s="27"/>
    </row>
    <row r="28" spans="2:49" ht="40.35" customHeight="1">
      <c r="B28" s="228" t="s">
        <v>24</v>
      </c>
      <c r="C28" s="77" t="s">
        <v>235</v>
      </c>
      <c r="D28" s="77" t="s">
        <v>236</v>
      </c>
      <c r="E28" s="77" t="s">
        <v>81</v>
      </c>
      <c r="R28" s="126"/>
      <c r="Z28" s="126"/>
      <c r="AA28" s="126"/>
      <c r="AB28" s="126"/>
      <c r="AC28" s="126"/>
    </row>
    <row r="29" spans="2:49" ht="18.399999999999999" customHeight="1">
      <c r="B29" s="228"/>
      <c r="C29" s="6">
        <f>'Comp. Oficial de Manutenção'!D11</f>
        <v>27.39</v>
      </c>
      <c r="D29" s="6">
        <v>23.15</v>
      </c>
      <c r="E29" s="6">
        <v>34.43</v>
      </c>
    </row>
    <row r="30" spans="2:49" ht="28.9" customHeight="1">
      <c r="B30" s="25" t="str">
        <f>'Equipe Técnica'!B9</f>
        <v>* Tabela SINAPI Outubro/2023 (Não Desonerado)</v>
      </c>
    </row>
    <row r="31" spans="2:49" ht="23.85" customHeight="1"/>
  </sheetData>
  <mergeCells count="44">
    <mergeCell ref="AT11:AU11"/>
    <mergeCell ref="AT12:AU12"/>
    <mergeCell ref="B28:B29"/>
    <mergeCell ref="AT13:AU13"/>
    <mergeCell ref="AT14:AU14"/>
    <mergeCell ref="AT15:AU15"/>
    <mergeCell ref="AI26:AJ26"/>
    <mergeCell ref="AO5:AO6"/>
    <mergeCell ref="AP5:AP6"/>
    <mergeCell ref="AQ5:AQ6"/>
    <mergeCell ref="AS5:AS6"/>
    <mergeCell ref="AT10:AU10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  <ignoredErrors>
    <ignoredError sqref="AT1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45"/>
  <sheetViews>
    <sheetView showGridLines="0" topLeftCell="A3" zoomScale="110" zoomScaleNormal="110" workbookViewId="0">
      <selection activeCell="K27" sqref="K27"/>
    </sheetView>
  </sheetViews>
  <sheetFormatPr defaultRowHeight="14.25"/>
  <cols>
    <col min="1" max="1" width="5.625" customWidth="1"/>
    <col min="2" max="2" width="12.625" style="36" customWidth="1"/>
    <col min="3" max="3" width="32.625" style="36" customWidth="1"/>
    <col min="4" max="13" width="9.625" style="36" customWidth="1"/>
    <col min="14" max="15" width="9.625" style="44" customWidth="1"/>
    <col min="16" max="17" width="9.625" style="36" customWidth="1"/>
    <col min="18" max="18" width="8.625" style="36" customWidth="1"/>
    <col min="19" max="19" width="14.25" style="36" customWidth="1"/>
    <col min="20" max="260" width="8.625" style="36" customWidth="1"/>
    <col min="261" max="1026" width="8.625" customWidth="1"/>
  </cols>
  <sheetData>
    <row r="1" spans="2:19" ht="15" customHeight="1"/>
    <row r="2" spans="2:19" ht="24.95" customHeight="1">
      <c r="B2" s="208" t="str">
        <f>"DESLOCAMENTO BASE "&amp;Resumo!B5</f>
        <v>DESLOCAMENTO BASE PASSO FUNDO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10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82</v>
      </c>
      <c r="C4" s="10" t="str">
        <f>"Rota (saída e retorno "&amp;Resumo!B5&amp;")"</f>
        <v>Rota (saída e retorno PASSO FUNDO)</v>
      </c>
      <c r="D4" s="10" t="s">
        <v>83</v>
      </c>
      <c r="E4" s="10" t="s">
        <v>84</v>
      </c>
      <c r="F4" s="10" t="s">
        <v>85</v>
      </c>
      <c r="G4" s="10" t="s">
        <v>86</v>
      </c>
      <c r="H4" s="10" t="s">
        <v>87</v>
      </c>
      <c r="I4" s="10" t="s">
        <v>88</v>
      </c>
      <c r="J4" s="10" t="s">
        <v>89</v>
      </c>
      <c r="K4" s="10" t="s">
        <v>90</v>
      </c>
      <c r="L4" s="10" t="s">
        <v>91</v>
      </c>
      <c r="M4" s="37" t="s">
        <v>92</v>
      </c>
      <c r="N4" s="10" t="s">
        <v>93</v>
      </c>
      <c r="O4" s="71" t="s">
        <v>94</v>
      </c>
      <c r="P4" s="71" t="s">
        <v>95</v>
      </c>
      <c r="Q4" s="71" t="s">
        <v>60</v>
      </c>
      <c r="R4" s="179" t="s">
        <v>281</v>
      </c>
      <c r="S4" s="179" t="s">
        <v>282</v>
      </c>
    </row>
    <row r="5" spans="2:19" ht="15.95" customHeight="1">
      <c r="B5" s="234">
        <v>1</v>
      </c>
      <c r="C5" s="134" t="s">
        <v>223</v>
      </c>
      <c r="D5" s="236">
        <v>46.6</v>
      </c>
      <c r="E5" s="236">
        <v>46.4</v>
      </c>
      <c r="F5" s="236">
        <v>0</v>
      </c>
      <c r="G5" s="237">
        <f>SUM(D5:F6)</f>
        <v>93</v>
      </c>
      <c r="H5" s="241">
        <v>48</v>
      </c>
      <c r="I5" s="241">
        <v>49</v>
      </c>
      <c r="J5" s="241">
        <v>0</v>
      </c>
      <c r="K5" s="242">
        <f>SUM(H5:J6)</f>
        <v>97</v>
      </c>
      <c r="L5" s="243">
        <f>K5/60</f>
        <v>1.6166666666666667</v>
      </c>
      <c r="M5" s="245">
        <v>0</v>
      </c>
      <c r="N5" s="246">
        <v>2</v>
      </c>
      <c r="O5" s="135">
        <f>L5/N5</f>
        <v>0.80833333333333335</v>
      </c>
      <c r="P5" s="148">
        <v>0</v>
      </c>
      <c r="Q5" s="148">
        <v>0</v>
      </c>
      <c r="R5" s="180" t="str">
        <f>INDEX('Base Passo Fundo'!$K$7:$K$25,MATCH('Desl. Base Passo Fundo'!C5,'Base Passo Fundo'!$B$7:$B$25,0))</f>
        <v>SIM</v>
      </c>
      <c r="S5" s="180">
        <v>1</v>
      </c>
    </row>
    <row r="6" spans="2:19" ht="15.95" customHeight="1">
      <c r="B6" s="235"/>
      <c r="C6" s="134" t="s">
        <v>201</v>
      </c>
      <c r="D6" s="236"/>
      <c r="E6" s="236"/>
      <c r="F6" s="236"/>
      <c r="G6" s="237"/>
      <c r="H6" s="241"/>
      <c r="I6" s="241"/>
      <c r="J6" s="241"/>
      <c r="K6" s="242"/>
      <c r="L6" s="244"/>
      <c r="M6" s="245"/>
      <c r="N6" s="246"/>
      <c r="O6" s="135">
        <f>O5</f>
        <v>0.80833333333333335</v>
      </c>
      <c r="P6" s="148">
        <v>0</v>
      </c>
      <c r="Q6" s="148">
        <v>0</v>
      </c>
      <c r="R6" s="180" t="str">
        <f>INDEX('Base Passo Fundo'!$K$7:$K$25,MATCH('Desl. Base Passo Fundo'!C6,'Base Passo Fundo'!$B$7:$B$25,0))</f>
        <v>SIM</v>
      </c>
      <c r="S6" s="180">
        <v>1</v>
      </c>
    </row>
    <row r="7" spans="2:19" ht="15.95" customHeight="1">
      <c r="B7" s="256">
        <v>2</v>
      </c>
      <c r="C7" s="134" t="s">
        <v>203</v>
      </c>
      <c r="D7" s="236">
        <v>65.099999999999994</v>
      </c>
      <c r="E7" s="236">
        <f>98.1-D7</f>
        <v>33</v>
      </c>
      <c r="F7" s="236">
        <v>33.799999999999997</v>
      </c>
      <c r="G7" s="237">
        <f>SUM(D7:F8)</f>
        <v>131.89999999999998</v>
      </c>
      <c r="H7" s="241">
        <v>67</v>
      </c>
      <c r="I7" s="241">
        <f>103-H7</f>
        <v>36</v>
      </c>
      <c r="J7" s="241">
        <v>38</v>
      </c>
      <c r="K7" s="242">
        <f>SUM(H7:J8)</f>
        <v>141</v>
      </c>
      <c r="L7" s="243">
        <f>K7/60</f>
        <v>2.35</v>
      </c>
      <c r="M7" s="245">
        <v>0</v>
      </c>
      <c r="N7" s="246">
        <v>2</v>
      </c>
      <c r="O7" s="135">
        <f>L7/N7</f>
        <v>1.175</v>
      </c>
      <c r="P7" s="148">
        <v>0</v>
      </c>
      <c r="Q7" s="148">
        <v>0</v>
      </c>
      <c r="R7" s="180" t="str">
        <f>INDEX('Base Passo Fundo'!$K$7:$K$25,MATCH('Desl. Base Passo Fundo'!C7,'Base Passo Fundo'!$B$7:$B$25,0))</f>
        <v>SIM</v>
      </c>
      <c r="S7" s="180">
        <v>1</v>
      </c>
    </row>
    <row r="8" spans="2:19" ht="15.95" customHeight="1">
      <c r="B8" s="256"/>
      <c r="C8" s="134" t="s">
        <v>215</v>
      </c>
      <c r="D8" s="236"/>
      <c r="E8" s="236"/>
      <c r="F8" s="236"/>
      <c r="G8" s="237"/>
      <c r="H8" s="241"/>
      <c r="I8" s="241"/>
      <c r="J8" s="241"/>
      <c r="K8" s="242"/>
      <c r="L8" s="244"/>
      <c r="M8" s="245"/>
      <c r="N8" s="246"/>
      <c r="O8" s="135">
        <f>O7</f>
        <v>1.175</v>
      </c>
      <c r="P8" s="148">
        <v>0</v>
      </c>
      <c r="Q8" s="148">
        <v>0</v>
      </c>
      <c r="R8" s="180" t="str">
        <f>INDEX('Base Passo Fundo'!$K$7:$K$25,MATCH('Desl. Base Passo Fundo'!C8,'Base Passo Fundo'!$B$7:$B$25,0))</f>
        <v>SIM</v>
      </c>
      <c r="S8" s="180">
        <v>1</v>
      </c>
    </row>
    <row r="9" spans="2:19" ht="15.95" customHeight="1">
      <c r="B9" s="234">
        <v>3</v>
      </c>
      <c r="C9" s="134" t="s">
        <v>211</v>
      </c>
      <c r="D9" s="236">
        <v>104</v>
      </c>
      <c r="E9" s="236">
        <v>21</v>
      </c>
      <c r="F9" s="236">
        <v>83.4</v>
      </c>
      <c r="G9" s="237">
        <f t="shared" ref="G9" si="0">SUM(D9:F10)</f>
        <v>208.4</v>
      </c>
      <c r="H9" s="241">
        <v>106</v>
      </c>
      <c r="I9" s="241">
        <v>20</v>
      </c>
      <c r="J9" s="241">
        <v>82</v>
      </c>
      <c r="K9" s="242">
        <f t="shared" ref="K9" si="1">SUM(H9:J10)</f>
        <v>208</v>
      </c>
      <c r="L9" s="243">
        <f t="shared" ref="L9" si="2">K9/60</f>
        <v>3.4666666666666668</v>
      </c>
      <c r="M9" s="245">
        <v>0</v>
      </c>
      <c r="N9" s="246">
        <v>2</v>
      </c>
      <c r="O9" s="135">
        <f t="shared" ref="O9" si="3">L9/N9</f>
        <v>1.7333333333333334</v>
      </c>
      <c r="P9" s="148">
        <v>0</v>
      </c>
      <c r="Q9" s="148">
        <v>0</v>
      </c>
      <c r="R9" s="180" t="str">
        <f>INDEX('Base Passo Fundo'!$K$7:$K$25,MATCH('Desl. Base Passo Fundo'!C9,'Base Passo Fundo'!$B$7:$B$25,0))</f>
        <v>NÃO</v>
      </c>
      <c r="S9" s="180">
        <v>1</v>
      </c>
    </row>
    <row r="10" spans="2:19" ht="15.95" customHeight="1">
      <c r="B10" s="235"/>
      <c r="C10" s="134" t="s">
        <v>219</v>
      </c>
      <c r="D10" s="236"/>
      <c r="E10" s="236"/>
      <c r="F10" s="236"/>
      <c r="G10" s="237"/>
      <c r="H10" s="241"/>
      <c r="I10" s="241"/>
      <c r="J10" s="241"/>
      <c r="K10" s="242"/>
      <c r="L10" s="244"/>
      <c r="M10" s="245">
        <v>0</v>
      </c>
      <c r="N10" s="246"/>
      <c r="O10" s="135">
        <f>O9</f>
        <v>1.7333333333333334</v>
      </c>
      <c r="P10" s="148">
        <v>0</v>
      </c>
      <c r="Q10" s="148">
        <v>0</v>
      </c>
      <c r="R10" s="180" t="str">
        <f>INDEX('Base Passo Fundo'!$K$7:$K$25,MATCH('Desl. Base Passo Fundo'!C10,'Base Passo Fundo'!$B$7:$B$25,0))</f>
        <v>SIM</v>
      </c>
      <c r="S10" s="180">
        <v>1</v>
      </c>
    </row>
    <row r="11" spans="2:19" ht="15.95" customHeight="1">
      <c r="B11" s="256">
        <v>4</v>
      </c>
      <c r="C11" s="134" t="s">
        <v>205</v>
      </c>
      <c r="D11" s="236">
        <v>81.8</v>
      </c>
      <c r="E11" s="236">
        <f>117-D11</f>
        <v>35.200000000000003</v>
      </c>
      <c r="F11" s="236">
        <v>49.2</v>
      </c>
      <c r="G11" s="237">
        <f t="shared" ref="G11" si="4">SUM(D11:F12)</f>
        <v>166.2</v>
      </c>
      <c r="H11" s="241">
        <v>76</v>
      </c>
      <c r="I11" s="241">
        <f>116-H11</f>
        <v>40</v>
      </c>
      <c r="J11" s="241">
        <v>48</v>
      </c>
      <c r="K11" s="242">
        <f t="shared" ref="K11" si="5">SUM(H11:J12)</f>
        <v>164</v>
      </c>
      <c r="L11" s="243">
        <f t="shared" ref="L11" si="6">K11/60</f>
        <v>2.7333333333333334</v>
      </c>
      <c r="M11" s="245">
        <v>4.9000000000000004</v>
      </c>
      <c r="N11" s="246">
        <v>2</v>
      </c>
      <c r="O11" s="135">
        <f t="shared" ref="O11" si="7">L11/N11</f>
        <v>1.3666666666666667</v>
      </c>
      <c r="P11" s="148">
        <f>M11/N11</f>
        <v>2.4500000000000002</v>
      </c>
      <c r="Q11" s="148">
        <v>0</v>
      </c>
      <c r="R11" s="180" t="str">
        <f>INDEX('Base Passo Fundo'!$K$7:$K$25,MATCH('Desl. Base Passo Fundo'!C11,'Base Passo Fundo'!$B$7:$B$25,0))</f>
        <v>SIM</v>
      </c>
      <c r="S11" s="180">
        <v>1</v>
      </c>
    </row>
    <row r="12" spans="2:19" ht="15.95" customHeight="1">
      <c r="B12" s="256"/>
      <c r="C12" s="134" t="s">
        <v>209</v>
      </c>
      <c r="D12" s="236"/>
      <c r="E12" s="236"/>
      <c r="F12" s="236"/>
      <c r="G12" s="237"/>
      <c r="H12" s="241"/>
      <c r="I12" s="241"/>
      <c r="J12" s="241"/>
      <c r="K12" s="242"/>
      <c r="L12" s="244"/>
      <c r="M12" s="245"/>
      <c r="N12" s="246"/>
      <c r="O12" s="135">
        <f>O11</f>
        <v>1.3666666666666667</v>
      </c>
      <c r="P12" s="148">
        <f>P11</f>
        <v>2.4500000000000002</v>
      </c>
      <c r="Q12" s="148">
        <v>0</v>
      </c>
      <c r="R12" s="180" t="str">
        <f>INDEX('Base Passo Fundo'!$K$7:$K$25,MATCH('Desl. Base Passo Fundo'!C12,'Base Passo Fundo'!$B$7:$B$25,0))</f>
        <v>NÃO</v>
      </c>
      <c r="S12" s="180">
        <v>1</v>
      </c>
    </row>
    <row r="13" spans="2:19" ht="15.95" customHeight="1">
      <c r="B13" s="234">
        <v>5</v>
      </c>
      <c r="C13" s="147" t="s">
        <v>213</v>
      </c>
      <c r="D13" s="236">
        <v>98.4</v>
      </c>
      <c r="E13" s="236">
        <f>176-D13</f>
        <v>77.599999999999994</v>
      </c>
      <c r="F13" s="236">
        <v>176</v>
      </c>
      <c r="G13" s="237">
        <f t="shared" ref="G13" si="8">SUM(D13:F14)</f>
        <v>352</v>
      </c>
      <c r="H13" s="241">
        <v>85</v>
      </c>
      <c r="I13" s="241">
        <f>155-H13</f>
        <v>70</v>
      </c>
      <c r="J13" s="241">
        <v>141</v>
      </c>
      <c r="K13" s="242">
        <f t="shared" ref="K13" si="9">SUM(H13:J14)</f>
        <v>296</v>
      </c>
      <c r="L13" s="243">
        <f t="shared" ref="L13" si="10">K13/60</f>
        <v>4.9333333333333336</v>
      </c>
      <c r="M13" s="245">
        <v>0</v>
      </c>
      <c r="N13" s="246">
        <v>2</v>
      </c>
      <c r="O13" s="135">
        <f t="shared" ref="O13" si="11">L13/N13</f>
        <v>2.4666666666666668</v>
      </c>
      <c r="P13" s="148">
        <v>0</v>
      </c>
      <c r="Q13" s="148">
        <v>0</v>
      </c>
      <c r="R13" s="180" t="str">
        <f>INDEX('Base Passo Fundo'!$K$7:$K$25,MATCH('Desl. Base Passo Fundo'!C13,'Base Passo Fundo'!$B$7:$B$25,0))</f>
        <v>NÃO</v>
      </c>
      <c r="S13" s="180">
        <v>0</v>
      </c>
    </row>
    <row r="14" spans="2:19" ht="15.95" customHeight="1">
      <c r="B14" s="235"/>
      <c r="C14" s="147" t="s">
        <v>197</v>
      </c>
      <c r="D14" s="236"/>
      <c r="E14" s="236"/>
      <c r="F14" s="236"/>
      <c r="G14" s="237"/>
      <c r="H14" s="241"/>
      <c r="I14" s="241"/>
      <c r="J14" s="241"/>
      <c r="K14" s="242"/>
      <c r="L14" s="244"/>
      <c r="M14" s="245"/>
      <c r="N14" s="246"/>
      <c r="O14" s="135">
        <f>O13</f>
        <v>2.4666666666666668</v>
      </c>
      <c r="P14" s="148">
        <v>0</v>
      </c>
      <c r="Q14" s="148">
        <v>0</v>
      </c>
      <c r="R14" s="180" t="str">
        <f>INDEX('Base Passo Fundo'!$K$7:$K$25,MATCH('Desl. Base Passo Fundo'!C14,'Base Passo Fundo'!$B$7:$B$25,0))</f>
        <v>NÃO</v>
      </c>
      <c r="S14" s="180">
        <v>0</v>
      </c>
    </row>
    <row r="15" spans="2:19" ht="15.95" customHeight="1">
      <c r="B15" s="234">
        <v>6</v>
      </c>
      <c r="C15" s="134" t="s">
        <v>207</v>
      </c>
      <c r="D15" s="236">
        <v>83.6</v>
      </c>
      <c r="E15" s="236">
        <f>125-D15</f>
        <v>41.400000000000006</v>
      </c>
      <c r="F15" s="236">
        <v>76.3</v>
      </c>
      <c r="G15" s="237">
        <f t="shared" ref="G15" si="12">SUM(D15:F16)</f>
        <v>201.3</v>
      </c>
      <c r="H15" s="241">
        <v>71</v>
      </c>
      <c r="I15" s="241">
        <f>105-H15</f>
        <v>34</v>
      </c>
      <c r="J15" s="241">
        <v>68</v>
      </c>
      <c r="K15" s="242">
        <f t="shared" ref="K15" si="13">SUM(H15:J16)</f>
        <v>173</v>
      </c>
      <c r="L15" s="243">
        <f t="shared" ref="L15" si="14">K15/60</f>
        <v>2.8833333333333333</v>
      </c>
      <c r="M15" s="245">
        <v>0</v>
      </c>
      <c r="N15" s="246">
        <v>2</v>
      </c>
      <c r="O15" s="135">
        <f t="shared" ref="O15" si="15">L15/N15</f>
        <v>1.4416666666666667</v>
      </c>
      <c r="P15" s="148">
        <v>0</v>
      </c>
      <c r="Q15" s="148">
        <v>0</v>
      </c>
      <c r="R15" s="180" t="str">
        <f>INDEX('Base Passo Fundo'!$K$7:$K$25,MATCH('Desl. Base Passo Fundo'!C15,'Base Passo Fundo'!$B$7:$B$25,0))</f>
        <v>NÃO</v>
      </c>
      <c r="S15" s="180">
        <v>1</v>
      </c>
    </row>
    <row r="16" spans="2:19" ht="15.95" customHeight="1">
      <c r="B16" s="235"/>
      <c r="C16" s="134" t="s">
        <v>221</v>
      </c>
      <c r="D16" s="236"/>
      <c r="E16" s="236"/>
      <c r="F16" s="236"/>
      <c r="G16" s="237"/>
      <c r="H16" s="241"/>
      <c r="I16" s="241"/>
      <c r="J16" s="241"/>
      <c r="K16" s="242"/>
      <c r="L16" s="244"/>
      <c r="M16" s="245"/>
      <c r="N16" s="246"/>
      <c r="O16" s="135">
        <f>O15</f>
        <v>1.4416666666666667</v>
      </c>
      <c r="P16" s="148">
        <v>0</v>
      </c>
      <c r="Q16" s="148">
        <v>0</v>
      </c>
      <c r="R16" s="180" t="str">
        <f>INDEX('Base Passo Fundo'!$K$7:$K$25,MATCH('Desl. Base Passo Fundo'!C16,'Base Passo Fundo'!$B$7:$B$25,0))</f>
        <v>SIM</v>
      </c>
      <c r="S16" s="180">
        <v>1</v>
      </c>
    </row>
    <row r="17" spans="2:19" ht="15.95" customHeight="1">
      <c r="B17" s="146">
        <v>7</v>
      </c>
      <c r="C17" s="147" t="s">
        <v>217</v>
      </c>
      <c r="D17" s="142">
        <v>78.2</v>
      </c>
      <c r="E17" s="142">
        <v>78.7</v>
      </c>
      <c r="F17" s="142">
        <v>0</v>
      </c>
      <c r="G17" s="143">
        <f>SUM(D17:F17)</f>
        <v>156.9</v>
      </c>
      <c r="H17" s="144">
        <v>74</v>
      </c>
      <c r="I17" s="144">
        <v>76</v>
      </c>
      <c r="J17" s="144">
        <v>0</v>
      </c>
      <c r="K17" s="145">
        <f>SUM(H17:J17)</f>
        <v>150</v>
      </c>
      <c r="L17" s="135">
        <f t="shared" ref="L17:L18" si="16">K17/60</f>
        <v>2.5</v>
      </c>
      <c r="M17" s="140">
        <v>0</v>
      </c>
      <c r="N17" s="141">
        <v>1</v>
      </c>
      <c r="O17" s="135">
        <f t="shared" ref="O17:O18" si="17">L17/N17</f>
        <v>2.5</v>
      </c>
      <c r="P17" s="140">
        <v>0</v>
      </c>
      <c r="Q17" s="148">
        <v>0</v>
      </c>
      <c r="R17" s="180" t="str">
        <f>INDEX('Base Passo Fundo'!$K$7:$K$25,MATCH('Desl. Base Passo Fundo'!C17,'Base Passo Fundo'!$B$7:$B$25,0))</f>
        <v>NÃO</v>
      </c>
      <c r="S17" s="180">
        <v>0</v>
      </c>
    </row>
    <row r="18" spans="2:19" ht="15.95" customHeight="1">
      <c r="B18" s="234">
        <v>8</v>
      </c>
      <c r="C18" s="134" t="s">
        <v>195</v>
      </c>
      <c r="D18" s="236">
        <v>116</v>
      </c>
      <c r="E18" s="236">
        <v>18</v>
      </c>
      <c r="F18" s="236">
        <v>136</v>
      </c>
      <c r="G18" s="237">
        <f t="shared" ref="G18" si="18">SUM(D18:F19)</f>
        <v>270</v>
      </c>
      <c r="H18" s="241">
        <v>115</v>
      </c>
      <c r="I18" s="241">
        <v>19</v>
      </c>
      <c r="J18" s="241">
        <v>130</v>
      </c>
      <c r="K18" s="242">
        <f t="shared" ref="K18" si="19">SUM(H18:J19)</f>
        <v>264</v>
      </c>
      <c r="L18" s="243">
        <f t="shared" si="16"/>
        <v>4.4000000000000004</v>
      </c>
      <c r="M18" s="245">
        <v>0</v>
      </c>
      <c r="N18" s="246">
        <v>2</v>
      </c>
      <c r="O18" s="135">
        <f t="shared" si="17"/>
        <v>2.2000000000000002</v>
      </c>
      <c r="P18" s="148">
        <v>0</v>
      </c>
      <c r="Q18" s="148">
        <v>0</v>
      </c>
      <c r="R18" s="180" t="str">
        <f>INDEX('Base Passo Fundo'!$K$7:$K$25,MATCH('Desl. Base Passo Fundo'!C18,'Base Passo Fundo'!$B$7:$B$25,0))</f>
        <v>NÃO</v>
      </c>
      <c r="S18" s="180">
        <v>1</v>
      </c>
    </row>
    <row r="19" spans="2:19" ht="15.95" customHeight="1">
      <c r="B19" s="235"/>
      <c r="C19" s="134" t="s">
        <v>199</v>
      </c>
      <c r="D19" s="236"/>
      <c r="E19" s="236"/>
      <c r="F19" s="236"/>
      <c r="G19" s="237"/>
      <c r="H19" s="241"/>
      <c r="I19" s="241"/>
      <c r="J19" s="241"/>
      <c r="K19" s="242"/>
      <c r="L19" s="244"/>
      <c r="M19" s="245"/>
      <c r="N19" s="246"/>
      <c r="O19" s="135">
        <f>O18</f>
        <v>2.2000000000000002</v>
      </c>
      <c r="P19" s="148">
        <v>0</v>
      </c>
      <c r="Q19" s="148">
        <v>0</v>
      </c>
      <c r="R19" s="180" t="str">
        <f>INDEX('Base Passo Fundo'!$K$7:$K$25,MATCH('Desl. Base Passo Fundo'!C19,'Base Passo Fundo'!$B$7:$B$25,0))</f>
        <v>SIM</v>
      </c>
      <c r="S19" s="180">
        <v>1</v>
      </c>
    </row>
    <row r="20" spans="2:19" ht="15.95" customHeight="1">
      <c r="B20" s="234">
        <v>9</v>
      </c>
      <c r="C20" s="134" t="s">
        <v>229</v>
      </c>
      <c r="D20" s="236">
        <v>194</v>
      </c>
      <c r="E20" s="236">
        <f>239-D20</f>
        <v>45</v>
      </c>
      <c r="F20" s="236">
        <v>217</v>
      </c>
      <c r="G20" s="237">
        <f t="shared" ref="G20" si="20">SUM(D20:F21)</f>
        <v>456</v>
      </c>
      <c r="H20" s="241">
        <v>165</v>
      </c>
      <c r="I20" s="241">
        <f>207-H20</f>
        <v>42</v>
      </c>
      <c r="J20" s="241">
        <v>188</v>
      </c>
      <c r="K20" s="242">
        <f t="shared" ref="K20" si="21">SUM(H20:J21)</f>
        <v>395</v>
      </c>
      <c r="L20" s="243">
        <f t="shared" ref="L20" si="22">K20/60</f>
        <v>6.583333333333333</v>
      </c>
      <c r="M20" s="245">
        <v>0</v>
      </c>
      <c r="N20" s="246">
        <v>2</v>
      </c>
      <c r="O20" s="135">
        <f t="shared" ref="O20" si="23">L20/N20</f>
        <v>3.2916666666666665</v>
      </c>
      <c r="P20" s="148">
        <v>0</v>
      </c>
      <c r="Q20" s="148">
        <f>E44/N20</f>
        <v>66.37</v>
      </c>
      <c r="R20" s="180" t="str">
        <f>INDEX('Base Passo Fundo'!$K$7:$K$25,MATCH('Desl. Base Passo Fundo'!C20,'Base Passo Fundo'!$B$7:$B$25,0))</f>
        <v>NÃO</v>
      </c>
      <c r="S20" s="180">
        <v>1</v>
      </c>
    </row>
    <row r="21" spans="2:19" ht="15.95" customHeight="1">
      <c r="B21" s="235"/>
      <c r="C21" s="134" t="s">
        <v>225</v>
      </c>
      <c r="D21" s="236"/>
      <c r="E21" s="236"/>
      <c r="F21" s="236"/>
      <c r="G21" s="237"/>
      <c r="H21" s="241"/>
      <c r="I21" s="241"/>
      <c r="J21" s="241"/>
      <c r="K21" s="242"/>
      <c r="L21" s="244"/>
      <c r="M21" s="245"/>
      <c r="N21" s="246"/>
      <c r="O21" s="135">
        <f>O20</f>
        <v>3.2916666666666665</v>
      </c>
      <c r="P21" s="148">
        <v>0</v>
      </c>
      <c r="Q21" s="148">
        <f>Q20</f>
        <v>66.37</v>
      </c>
      <c r="R21" s="180" t="str">
        <f>INDEX('Base Passo Fundo'!$K$7:$K$25,MATCH('Desl. Base Passo Fundo'!C21,'Base Passo Fundo'!$B$7:$B$25,0))</f>
        <v>SIM</v>
      </c>
      <c r="S21" s="180">
        <v>1</v>
      </c>
    </row>
    <row r="22" spans="2:19" ht="15.95" customHeight="1">
      <c r="B22" s="234">
        <v>10</v>
      </c>
      <c r="C22" s="134" t="s">
        <v>231</v>
      </c>
      <c r="D22" s="236">
        <v>203</v>
      </c>
      <c r="E22" s="236">
        <v>33</v>
      </c>
      <c r="F22" s="236">
        <v>216</v>
      </c>
      <c r="G22" s="237">
        <f t="shared" ref="G22" si="24">SUM(D22:F23)</f>
        <v>452</v>
      </c>
      <c r="H22" s="241">
        <v>186</v>
      </c>
      <c r="I22" s="241">
        <f>214-H22</f>
        <v>28</v>
      </c>
      <c r="J22" s="241">
        <v>181</v>
      </c>
      <c r="K22" s="242">
        <f t="shared" ref="K22" si="25">SUM(H22:J23)</f>
        <v>395</v>
      </c>
      <c r="L22" s="243">
        <f t="shared" ref="L22" si="26">K22/60</f>
        <v>6.583333333333333</v>
      </c>
      <c r="M22" s="245">
        <v>32.799999999999997</v>
      </c>
      <c r="N22" s="246">
        <v>2</v>
      </c>
      <c r="O22" s="135">
        <f t="shared" ref="O22" si="27">L22/N22</f>
        <v>3.2916666666666665</v>
      </c>
      <c r="P22" s="148">
        <f>M22/N22</f>
        <v>16.399999999999999</v>
      </c>
      <c r="Q22" s="148">
        <f>E44/N22</f>
        <v>66.37</v>
      </c>
      <c r="R22" s="180" t="str">
        <f>INDEX('Base Passo Fundo'!$K$7:$K$25,MATCH('Desl. Base Passo Fundo'!C22,'Base Passo Fundo'!$B$7:$B$25,0))</f>
        <v>SIM</v>
      </c>
      <c r="S22" s="180">
        <v>1</v>
      </c>
    </row>
    <row r="23" spans="2:19" ht="15.95" customHeight="1">
      <c r="B23" s="235"/>
      <c r="C23" s="134" t="s">
        <v>227</v>
      </c>
      <c r="D23" s="236"/>
      <c r="E23" s="236"/>
      <c r="F23" s="236"/>
      <c r="G23" s="237"/>
      <c r="H23" s="241"/>
      <c r="I23" s="241"/>
      <c r="J23" s="241"/>
      <c r="K23" s="242"/>
      <c r="L23" s="244"/>
      <c r="M23" s="245"/>
      <c r="N23" s="246"/>
      <c r="O23" s="135">
        <f>O22</f>
        <v>3.2916666666666665</v>
      </c>
      <c r="P23" s="148">
        <f>P22</f>
        <v>16.399999999999999</v>
      </c>
      <c r="Q23" s="148">
        <f>Q22</f>
        <v>66.37</v>
      </c>
      <c r="R23" s="180" t="str">
        <f>INDEX('Base Passo Fundo'!$K$7:$K$25,MATCH('Desl. Base Passo Fundo'!C23,'Base Passo Fundo'!$B$7:$B$25,0))</f>
        <v>SIM</v>
      </c>
      <c r="S23" s="180">
        <v>1</v>
      </c>
    </row>
    <row r="24" spans="2:19" ht="20.100000000000001" customHeight="1">
      <c r="B24" s="251" t="s">
        <v>80</v>
      </c>
      <c r="C24" s="252"/>
      <c r="D24" s="252"/>
      <c r="E24" s="252"/>
      <c r="F24" s="253"/>
      <c r="G24" s="149">
        <f>SUM(G5:G23)</f>
        <v>2487.6999999999998</v>
      </c>
      <c r="H24" s="254" t="s">
        <v>80</v>
      </c>
      <c r="I24" s="254"/>
      <c r="J24" s="254"/>
      <c r="K24" s="150">
        <f t="shared" ref="K24:Q24" si="28">SUM(K5:K23)</f>
        <v>2283</v>
      </c>
      <c r="L24" s="90">
        <f t="shared" si="28"/>
        <v>38.049999999999997</v>
      </c>
      <c r="M24" s="89">
        <f t="shared" si="28"/>
        <v>37.699999999999996</v>
      </c>
      <c r="N24" s="91">
        <f t="shared" si="28"/>
        <v>19</v>
      </c>
      <c r="O24" s="90"/>
      <c r="P24" s="89"/>
      <c r="Q24" s="89">
        <f t="shared" si="28"/>
        <v>265.48</v>
      </c>
      <c r="R24" s="89"/>
      <c r="S24" s="89"/>
    </row>
    <row r="25" spans="2:19" ht="17.100000000000001" customHeight="1">
      <c r="B25" s="38"/>
      <c r="C25" s="38"/>
      <c r="D25" s="38"/>
      <c r="E25" s="38"/>
      <c r="F25" s="38"/>
    </row>
    <row r="26" spans="2:19" ht="18.75" customHeight="1">
      <c r="B26" s="255" t="s">
        <v>96</v>
      </c>
      <c r="C26" s="255"/>
      <c r="D26" s="255"/>
      <c r="E26" s="255"/>
      <c r="F26" s="38"/>
      <c r="G26" s="38"/>
      <c r="H26" s="38"/>
      <c r="I26" s="38"/>
      <c r="J26" s="38"/>
      <c r="K26" s="38"/>
      <c r="L26" s="38"/>
      <c r="M26" s="38"/>
      <c r="N26" s="39"/>
      <c r="O26" s="39"/>
    </row>
    <row r="27" spans="2:19" ht="18.75" customHeight="1">
      <c r="B27" s="99" t="s">
        <v>97</v>
      </c>
      <c r="C27" s="99" t="s">
        <v>98</v>
      </c>
      <c r="D27" s="99" t="s">
        <v>99</v>
      </c>
      <c r="E27" s="99" t="s">
        <v>100</v>
      </c>
      <c r="F27" s="38"/>
      <c r="G27" s="38"/>
      <c r="H27" s="39"/>
      <c r="I27" s="39"/>
      <c r="J27" s="38"/>
      <c r="K27" s="38"/>
      <c r="L27" s="38"/>
      <c r="M27" s="38"/>
      <c r="N27" s="39"/>
      <c r="O27" s="39"/>
    </row>
    <row r="28" spans="2:19" ht="18.75" customHeight="1">
      <c r="B28" s="93" t="s">
        <v>101</v>
      </c>
      <c r="C28" s="92" t="s">
        <v>102</v>
      </c>
      <c r="D28" s="93" t="s">
        <v>103</v>
      </c>
      <c r="E28" s="94">
        <f>'Comp. Veículo'!D11</f>
        <v>50.55</v>
      </c>
      <c r="F28" s="38"/>
      <c r="G28" s="38"/>
      <c r="H28" s="40"/>
      <c r="I28" s="40"/>
      <c r="J28" s="38"/>
      <c r="K28" s="38"/>
      <c r="L28" s="38"/>
      <c r="M28" s="38"/>
      <c r="N28" s="39"/>
      <c r="O28" s="39"/>
    </row>
    <row r="29" spans="2:19" ht="18.75" customHeight="1">
      <c r="B29" s="96" t="s">
        <v>104</v>
      </c>
      <c r="C29" s="97" t="s">
        <v>102</v>
      </c>
      <c r="D29" s="96" t="s">
        <v>105</v>
      </c>
      <c r="E29" s="98">
        <f>'Comp. Veículo'!D27</f>
        <v>6.95</v>
      </c>
      <c r="F29" s="38"/>
      <c r="G29" s="38"/>
      <c r="H29" s="40"/>
      <c r="I29" s="40"/>
      <c r="J29" s="38"/>
      <c r="K29" s="38"/>
      <c r="L29" s="38"/>
      <c r="M29" s="38"/>
      <c r="N29" s="39"/>
      <c r="O29" s="39"/>
    </row>
    <row r="30" spans="2:19" ht="47.25" customHeight="1">
      <c r="B30" s="247" t="s">
        <v>106</v>
      </c>
      <c r="C30" s="247"/>
      <c r="D30" s="247"/>
      <c r="E30" s="247"/>
      <c r="F30" s="95"/>
      <c r="G30" s="95"/>
      <c r="H30" s="95"/>
      <c r="I30" s="95"/>
      <c r="J30" s="95"/>
      <c r="K30" s="95"/>
      <c r="L30" s="95"/>
      <c r="M30" s="38"/>
      <c r="N30" s="39"/>
      <c r="O30" s="39"/>
    </row>
    <row r="31" spans="2:19" ht="16.5" customHeight="1">
      <c r="B31" s="54"/>
      <c r="C31" s="54"/>
      <c r="D31" s="54"/>
      <c r="E31" s="54"/>
      <c r="F31" s="95"/>
      <c r="G31" s="95"/>
      <c r="H31" s="95"/>
      <c r="I31" s="95"/>
      <c r="J31" s="95"/>
      <c r="K31" s="95"/>
      <c r="L31" s="95"/>
      <c r="M31" s="38"/>
      <c r="N31" s="39"/>
      <c r="O31" s="39"/>
    </row>
    <row r="32" spans="2:19" ht="17.100000000000001" customHeight="1">
      <c r="B32" s="248" t="s">
        <v>107</v>
      </c>
      <c r="C32" s="249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9"/>
    </row>
    <row r="33" spans="2:15" ht="17.100000000000001" customHeight="1">
      <c r="B33" s="93" t="s">
        <v>103</v>
      </c>
      <c r="C33" s="94">
        <f>E28*L24</f>
        <v>1923.4274999999998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9"/>
      <c r="O33" s="39"/>
    </row>
    <row r="34" spans="2:15" ht="17.100000000000001" customHeight="1">
      <c r="B34" s="93" t="s">
        <v>105</v>
      </c>
      <c r="C34" s="94">
        <f>E29*('Base Passo Fundo'!N26/12)</f>
        <v>420.06958333333324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</row>
    <row r="35" spans="2:15" ht="17.100000000000001" customHeight="1">
      <c r="B35" s="101" t="s">
        <v>22</v>
      </c>
      <c r="C35" s="100">
        <f>C33+C34</f>
        <v>2343.4970833333332</v>
      </c>
      <c r="D35" s="38"/>
      <c r="E35" s="38"/>
      <c r="F35" s="38"/>
      <c r="G35" s="38"/>
      <c r="H35" s="38"/>
      <c r="I35" s="38"/>
      <c r="M35" s="38"/>
      <c r="N35" s="39"/>
      <c r="O35" s="39"/>
    </row>
    <row r="36" spans="2:15" ht="17.100000000000001" customHeight="1">
      <c r="B36" s="38"/>
      <c r="C36" s="41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  <c r="O36" s="39"/>
    </row>
    <row r="37" spans="2:15" ht="17.100000000000001" customHeight="1">
      <c r="B37" s="250" t="s">
        <v>108</v>
      </c>
      <c r="C37" s="250"/>
      <c r="D37" s="38"/>
      <c r="J37" s="38"/>
      <c r="K37" s="38"/>
      <c r="L37" s="38"/>
      <c r="M37" s="38"/>
      <c r="N37" s="39"/>
      <c r="O37" s="39"/>
    </row>
    <row r="38" spans="2:15" ht="17.100000000000001" customHeight="1">
      <c r="B38" s="115" t="s">
        <v>100</v>
      </c>
      <c r="C38" s="102">
        <f>SUM(M5:M23)</f>
        <v>37.699999999999996</v>
      </c>
      <c r="J38" s="38"/>
      <c r="K38" s="38"/>
      <c r="L38" s="38"/>
      <c r="M38" s="38"/>
      <c r="N38" s="39"/>
      <c r="O38" s="39"/>
    </row>
    <row r="39" spans="2:15" ht="17.100000000000001" customHeight="1">
      <c r="B39" s="38"/>
      <c r="C39" s="42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  <c r="O39" s="39"/>
    </row>
    <row r="40" spans="2:15">
      <c r="B40" s="238" t="s">
        <v>175</v>
      </c>
      <c r="C40" s="239"/>
    </row>
    <row r="42" spans="2:15" ht="17.100000000000001" customHeight="1">
      <c r="B42" s="240" t="s">
        <v>60</v>
      </c>
      <c r="C42" s="240"/>
      <c r="D42" s="240"/>
      <c r="E42" s="240"/>
    </row>
    <row r="43" spans="2:15" ht="17.100000000000001" customHeight="1">
      <c r="B43" s="181" t="s">
        <v>283</v>
      </c>
      <c r="C43" s="181" t="s">
        <v>98</v>
      </c>
      <c r="D43" s="181" t="s">
        <v>99</v>
      </c>
      <c r="E43" s="181" t="s">
        <v>100</v>
      </c>
    </row>
    <row r="44" spans="2:15" ht="27" customHeight="1">
      <c r="B44" s="96" t="s">
        <v>284</v>
      </c>
      <c r="C44" s="182" t="s">
        <v>285</v>
      </c>
      <c r="D44" s="96" t="s">
        <v>286</v>
      </c>
      <c r="E44" s="183">
        <v>132.74</v>
      </c>
    </row>
    <row r="45" spans="2:15" ht="26.25" customHeight="1">
      <c r="B45" s="233" t="s">
        <v>287</v>
      </c>
      <c r="C45" s="233"/>
      <c r="D45" s="233"/>
      <c r="E45" s="233"/>
    </row>
  </sheetData>
  <mergeCells count="118">
    <mergeCell ref="B15:B16"/>
    <mergeCell ref="D15:D16"/>
    <mergeCell ref="E15:E16"/>
    <mergeCell ref="F15:F16"/>
    <mergeCell ref="G15:G16"/>
    <mergeCell ref="B13:B14"/>
    <mergeCell ref="D13:D14"/>
    <mergeCell ref="E13:E14"/>
    <mergeCell ref="F13:F14"/>
    <mergeCell ref="G13:G14"/>
    <mergeCell ref="M9:M10"/>
    <mergeCell ref="N9:N10"/>
    <mergeCell ref="K11:K12"/>
    <mergeCell ref="L11:L12"/>
    <mergeCell ref="M11:M12"/>
    <mergeCell ref="N11:N12"/>
    <mergeCell ref="K9:K10"/>
    <mergeCell ref="L9:L10"/>
    <mergeCell ref="E9:E10"/>
    <mergeCell ref="F9:F10"/>
    <mergeCell ref="G9:G10"/>
    <mergeCell ref="H9:H10"/>
    <mergeCell ref="I9:I10"/>
    <mergeCell ref="J9:J10"/>
    <mergeCell ref="I13:I14"/>
    <mergeCell ref="J13:J14"/>
    <mergeCell ref="K13:K14"/>
    <mergeCell ref="L13:L14"/>
    <mergeCell ref="B11:B12"/>
    <mergeCell ref="D11:D12"/>
    <mergeCell ref="E11:E12"/>
    <mergeCell ref="F11:F12"/>
    <mergeCell ref="G11:G12"/>
    <mergeCell ref="H11:H12"/>
    <mergeCell ref="I11:I12"/>
    <mergeCell ref="J11:J12"/>
    <mergeCell ref="H20:H21"/>
    <mergeCell ref="I20:I21"/>
    <mergeCell ref="J20:J21"/>
    <mergeCell ref="K20:K21"/>
    <mergeCell ref="B9:B10"/>
    <mergeCell ref="D9:D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5:B6"/>
    <mergeCell ref="D5:D6"/>
    <mergeCell ref="E5:E6"/>
    <mergeCell ref="F5:F6"/>
    <mergeCell ref="G5:G6"/>
    <mergeCell ref="L20:L21"/>
    <mergeCell ref="M20:M21"/>
    <mergeCell ref="B30:E30"/>
    <mergeCell ref="B32:C32"/>
    <mergeCell ref="B37:C37"/>
    <mergeCell ref="B24:F24"/>
    <mergeCell ref="H24:J24"/>
    <mergeCell ref="B26:E26"/>
    <mergeCell ref="N20:N21"/>
    <mergeCell ref="B22:B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B20:B21"/>
    <mergeCell ref="D20:D21"/>
    <mergeCell ref="E20:E21"/>
    <mergeCell ref="H18:H19"/>
    <mergeCell ref="I18:I19"/>
    <mergeCell ref="J18:J19"/>
    <mergeCell ref="K18:K19"/>
    <mergeCell ref="L18:L19"/>
    <mergeCell ref="M18:M19"/>
    <mergeCell ref="N18:N19"/>
    <mergeCell ref="L5:L6"/>
    <mergeCell ref="M5:M6"/>
    <mergeCell ref="N5:N6"/>
    <mergeCell ref="H5:H6"/>
    <mergeCell ref="I5:I6"/>
    <mergeCell ref="J5:J6"/>
    <mergeCell ref="K5:K6"/>
    <mergeCell ref="M15:M16"/>
    <mergeCell ref="N15:N16"/>
    <mergeCell ref="H15:H16"/>
    <mergeCell ref="I15:I16"/>
    <mergeCell ref="J15:J16"/>
    <mergeCell ref="K15:K16"/>
    <mergeCell ref="L15:L16"/>
    <mergeCell ref="M13:M14"/>
    <mergeCell ref="N13:N14"/>
    <mergeCell ref="H13:H14"/>
    <mergeCell ref="B45:E45"/>
    <mergeCell ref="B18:B19"/>
    <mergeCell ref="D18:D19"/>
    <mergeCell ref="E18:E19"/>
    <mergeCell ref="F18:F19"/>
    <mergeCell ref="G18:G19"/>
    <mergeCell ref="B40:C40"/>
    <mergeCell ref="F20:F21"/>
    <mergeCell ref="G20:G21"/>
    <mergeCell ref="B42:E42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ignoredErrors>
    <ignoredError sqref="O6 O8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0945A-491B-420D-B59F-7E07F0FD33E6}">
  <sheetPr>
    <tabColor theme="0"/>
  </sheetPr>
  <dimension ref="B1:F16"/>
  <sheetViews>
    <sheetView zoomScale="110" zoomScaleNormal="110" workbookViewId="0">
      <selection activeCell="F14" sqref="F14"/>
    </sheetView>
  </sheetViews>
  <sheetFormatPr defaultColWidth="10.125" defaultRowHeight="12.75"/>
  <cols>
    <col min="1" max="1" width="5" style="152" customWidth="1"/>
    <col min="2" max="2" width="33.625" style="152" customWidth="1"/>
    <col min="3" max="3" width="27.75" style="152" customWidth="1"/>
    <col min="4" max="4" width="15" style="152" customWidth="1"/>
    <col min="5" max="5" width="7.5" style="152" customWidth="1"/>
    <col min="6" max="16384" width="10.125" style="152"/>
  </cols>
  <sheetData>
    <row r="1" spans="2:6" ht="15" customHeight="1"/>
    <row r="2" spans="2:6" ht="15" customHeight="1">
      <c r="C2" s="184" t="s">
        <v>237</v>
      </c>
    </row>
    <row r="3" spans="2:6" ht="15" customHeight="1">
      <c r="B3" s="154" t="s">
        <v>288</v>
      </c>
      <c r="C3" s="184" t="s">
        <v>289</v>
      </c>
    </row>
    <row r="4" spans="2:6" ht="15" customHeight="1">
      <c r="B4" s="154" t="s">
        <v>290</v>
      </c>
      <c r="C4" s="155" t="s">
        <v>291</v>
      </c>
    </row>
    <row r="5" spans="2:6" ht="15" customHeight="1">
      <c r="B5" s="154" t="s">
        <v>242</v>
      </c>
      <c r="C5" s="155">
        <v>45200</v>
      </c>
    </row>
    <row r="6" spans="2:6" ht="15" customHeight="1">
      <c r="B6" s="154" t="s">
        <v>292</v>
      </c>
      <c r="C6" s="156">
        <v>56.25</v>
      </c>
    </row>
    <row r="7" spans="2:6">
      <c r="B7" s="185"/>
      <c r="C7" s="186"/>
    </row>
    <row r="8" spans="2:6" ht="27.75" customHeight="1">
      <c r="B8" s="159" t="s">
        <v>293</v>
      </c>
      <c r="C8" s="187" t="s">
        <v>294</v>
      </c>
    </row>
    <row r="9" spans="2:6" ht="15" customHeight="1">
      <c r="B9" s="154" t="s">
        <v>247</v>
      </c>
      <c r="C9" s="160">
        <v>0.83340000000000003</v>
      </c>
    </row>
    <row r="10" spans="2:6" ht="15" customHeight="1">
      <c r="B10" s="154" t="s">
        <v>249</v>
      </c>
      <c r="C10" s="160">
        <v>1.1276999999999999</v>
      </c>
    </row>
    <row r="11" spans="2:6" ht="14.1" customHeight="1">
      <c r="B11" s="185"/>
      <c r="C11" s="185"/>
    </row>
    <row r="12" spans="2:6" ht="15" customHeight="1">
      <c r="B12" s="161" t="s">
        <v>295</v>
      </c>
      <c r="C12" s="162"/>
    </row>
    <row r="13" spans="2:6" ht="15" customHeight="1">
      <c r="B13" s="188" t="s">
        <v>296</v>
      </c>
      <c r="C13" s="189">
        <f>C6*(1+C9)</f>
        <v>103.12875000000001</v>
      </c>
      <c r="D13" s="190"/>
      <c r="F13" s="191"/>
    </row>
    <row r="14" spans="2:6" ht="15" customHeight="1">
      <c r="B14" s="188" t="s">
        <v>297</v>
      </c>
      <c r="C14" s="189">
        <f>C6*(1+C10)</f>
        <v>119.68312499999999</v>
      </c>
      <c r="D14" s="190"/>
      <c r="F14" s="191"/>
    </row>
    <row r="16" spans="2:6" ht="45" customHeight="1">
      <c r="B16" s="257" t="s">
        <v>298</v>
      </c>
      <c r="C16" s="257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96972-8124-44B7-B2DB-4640E5BD1017}">
  <sheetPr>
    <tabColor rgb="FFFFFFFF"/>
  </sheetPr>
  <dimension ref="B1:K20"/>
  <sheetViews>
    <sheetView zoomScale="110" zoomScaleNormal="110" workbookViewId="0">
      <selection activeCell="G16" sqref="G16"/>
    </sheetView>
  </sheetViews>
  <sheetFormatPr defaultColWidth="8.125" defaultRowHeight="12.75"/>
  <cols>
    <col min="1" max="1" width="5" style="166" customWidth="1"/>
    <col min="2" max="2" width="2.875" style="166" customWidth="1"/>
    <col min="3" max="3" width="11.75" style="166" customWidth="1"/>
    <col min="4" max="4" width="57.75" style="166" customWidth="1"/>
    <col min="5" max="5" width="28.875" style="166" customWidth="1"/>
    <col min="6" max="6" width="9.625" style="166" customWidth="1"/>
    <col min="7" max="7" width="13.25" style="166" customWidth="1"/>
    <col min="8" max="8" width="11.5" style="166" customWidth="1"/>
    <col min="9" max="9" width="13.5" style="166" customWidth="1"/>
    <col min="10" max="1026" width="8.25" style="166" customWidth="1"/>
    <col min="1027" max="16384" width="8.125" style="166"/>
  </cols>
  <sheetData>
    <row r="1" spans="2:11" ht="15" customHeight="1"/>
    <row r="2" spans="2:11" ht="24.75" customHeight="1">
      <c r="B2" s="263" t="s">
        <v>299</v>
      </c>
      <c r="C2" s="263"/>
      <c r="D2" s="263"/>
      <c r="E2" s="263"/>
      <c r="F2" s="263"/>
      <c r="G2" s="263"/>
      <c r="H2" s="263"/>
      <c r="I2" s="263"/>
    </row>
    <row r="3" spans="2:11" ht="20.100000000000001" customHeight="1"/>
    <row r="4" spans="2:11" ht="16.5" customHeight="1">
      <c r="B4" s="264" t="s">
        <v>300</v>
      </c>
      <c r="C4" s="264"/>
      <c r="D4" s="264"/>
      <c r="E4" s="264"/>
      <c r="F4" s="264"/>
      <c r="G4" s="264"/>
      <c r="H4" s="264"/>
      <c r="I4" s="264"/>
    </row>
    <row r="5" spans="2:11" ht="16.5" customHeight="1">
      <c r="B5" s="258" t="s">
        <v>110</v>
      </c>
      <c r="C5" s="258"/>
      <c r="D5" s="259">
        <v>91677</v>
      </c>
      <c r="E5" s="259"/>
      <c r="F5" s="259"/>
      <c r="G5" s="259"/>
      <c r="H5" s="259"/>
      <c r="I5" s="259"/>
    </row>
    <row r="6" spans="2:11" ht="16.5" customHeight="1">
      <c r="B6" s="258" t="s">
        <v>98</v>
      </c>
      <c r="C6" s="258"/>
      <c r="D6" s="259" t="s">
        <v>301</v>
      </c>
      <c r="E6" s="259"/>
      <c r="F6" s="259"/>
      <c r="G6" s="259"/>
      <c r="H6" s="259"/>
      <c r="I6" s="259"/>
    </row>
    <row r="7" spans="2:11" ht="16.5" customHeight="1">
      <c r="B7" s="258" t="s">
        <v>113</v>
      </c>
      <c r="C7" s="258"/>
      <c r="D7" s="262" t="s">
        <v>263</v>
      </c>
      <c r="E7" s="262"/>
      <c r="F7" s="262"/>
      <c r="G7" s="262"/>
      <c r="H7" s="262"/>
      <c r="I7" s="262"/>
    </row>
    <row r="8" spans="2:11" ht="16.5" customHeight="1">
      <c r="B8" s="258" t="s">
        <v>114</v>
      </c>
      <c r="C8" s="258"/>
      <c r="D8" s="259" t="s">
        <v>237</v>
      </c>
      <c r="E8" s="259"/>
      <c r="F8" s="259"/>
      <c r="G8" s="259"/>
      <c r="H8" s="259"/>
      <c r="I8" s="259"/>
    </row>
    <row r="9" spans="2:11" ht="16.5" customHeight="1">
      <c r="B9" s="258" t="s">
        <v>115</v>
      </c>
      <c r="C9" s="258"/>
      <c r="D9" s="259" t="s">
        <v>264</v>
      </c>
      <c r="E9" s="259"/>
      <c r="F9" s="259"/>
      <c r="G9" s="259"/>
      <c r="H9" s="259"/>
      <c r="I9" s="259"/>
    </row>
    <row r="10" spans="2:11" ht="16.5" customHeight="1">
      <c r="B10" s="258" t="s">
        <v>99</v>
      </c>
      <c r="C10" s="258"/>
      <c r="D10" s="259" t="s">
        <v>120</v>
      </c>
      <c r="E10" s="259"/>
      <c r="F10" s="259"/>
      <c r="G10" s="259"/>
      <c r="H10" s="259"/>
      <c r="I10" s="259"/>
    </row>
    <row r="11" spans="2:11" ht="23.25" customHeight="1">
      <c r="B11" s="260" t="s">
        <v>117</v>
      </c>
      <c r="C11" s="260"/>
      <c r="D11" s="261">
        <f>SUM(I14:I19)</f>
        <v>125.45312499999999</v>
      </c>
      <c r="E11" s="261"/>
      <c r="F11" s="261"/>
      <c r="G11" s="261"/>
      <c r="H11" s="261"/>
      <c r="I11" s="261"/>
    </row>
    <row r="12" spans="2:11" ht="15.75" customHeight="1">
      <c r="B12" s="167"/>
      <c r="C12" s="167"/>
      <c r="D12" s="168"/>
      <c r="E12" s="168"/>
      <c r="F12" s="168"/>
      <c r="G12" s="168"/>
      <c r="H12" s="168"/>
      <c r="I12" s="168"/>
    </row>
    <row r="13" spans="2:11" ht="45">
      <c r="B13" s="169"/>
      <c r="C13" s="169" t="s">
        <v>133</v>
      </c>
      <c r="D13" s="169" t="s">
        <v>98</v>
      </c>
      <c r="E13" s="169" t="s">
        <v>115</v>
      </c>
      <c r="F13" s="169" t="s">
        <v>99</v>
      </c>
      <c r="G13" s="169" t="s">
        <v>265</v>
      </c>
      <c r="H13" s="169" t="s">
        <v>118</v>
      </c>
      <c r="I13" s="169" t="s">
        <v>117</v>
      </c>
    </row>
    <row r="14" spans="2:11" ht="20.100000000000001" customHeight="1">
      <c r="B14" s="170" t="s">
        <v>187</v>
      </c>
      <c r="C14" s="170" t="s">
        <v>302</v>
      </c>
      <c r="D14" s="170" t="s">
        <v>303</v>
      </c>
      <c r="E14" s="170" t="s">
        <v>304</v>
      </c>
      <c r="F14" s="170" t="s">
        <v>120</v>
      </c>
      <c r="G14" s="172">
        <v>3.84</v>
      </c>
      <c r="H14" s="172">
        <v>1</v>
      </c>
      <c r="I14" s="173">
        <f t="shared" ref="I14:I19" si="0">G14*H14</f>
        <v>3.84</v>
      </c>
      <c r="J14" s="174"/>
      <c r="K14" s="174"/>
    </row>
    <row r="15" spans="2:11" ht="20.100000000000001" customHeight="1">
      <c r="B15" s="170" t="s">
        <v>187</v>
      </c>
      <c r="C15" s="170" t="s">
        <v>305</v>
      </c>
      <c r="D15" s="170" t="s">
        <v>289</v>
      </c>
      <c r="E15" s="170" t="s">
        <v>269</v>
      </c>
      <c r="F15" s="170" t="s">
        <v>120</v>
      </c>
      <c r="G15" s="172">
        <f>'Custo Eng. Eletricista'!C14</f>
        <v>119.68312499999999</v>
      </c>
      <c r="H15" s="172">
        <v>1</v>
      </c>
      <c r="I15" s="173">
        <f t="shared" si="0"/>
        <v>119.68312499999999</v>
      </c>
      <c r="J15" s="174"/>
      <c r="K15" s="174"/>
    </row>
    <row r="16" spans="2:11" ht="30" customHeight="1">
      <c r="B16" s="170" t="s">
        <v>187</v>
      </c>
      <c r="C16" s="170" t="s">
        <v>306</v>
      </c>
      <c r="D16" s="170" t="s">
        <v>274</v>
      </c>
      <c r="E16" s="170" t="s">
        <v>271</v>
      </c>
      <c r="F16" s="170" t="s">
        <v>120</v>
      </c>
      <c r="G16" s="172" t="s">
        <v>307</v>
      </c>
      <c r="H16" s="172">
        <v>1</v>
      </c>
      <c r="I16" s="173">
        <f t="shared" si="0"/>
        <v>1.1399999999999999</v>
      </c>
      <c r="J16" s="174"/>
      <c r="K16" s="174"/>
    </row>
    <row r="17" spans="2:11" ht="30" customHeight="1">
      <c r="B17" s="170" t="s">
        <v>187</v>
      </c>
      <c r="C17" s="170" t="s">
        <v>308</v>
      </c>
      <c r="D17" s="170" t="s">
        <v>275</v>
      </c>
      <c r="E17" s="170" t="s">
        <v>276</v>
      </c>
      <c r="F17" s="170" t="s">
        <v>120</v>
      </c>
      <c r="G17" s="172" t="s">
        <v>309</v>
      </c>
      <c r="H17" s="172">
        <v>1</v>
      </c>
      <c r="I17" s="173">
        <f t="shared" si="0"/>
        <v>7.0000000000000007E-2</v>
      </c>
      <c r="J17" s="174"/>
      <c r="K17" s="174"/>
    </row>
    <row r="18" spans="2:11" ht="30" customHeight="1">
      <c r="B18" s="170" t="s">
        <v>187</v>
      </c>
      <c r="C18" s="170" t="s">
        <v>310</v>
      </c>
      <c r="D18" s="170" t="s">
        <v>311</v>
      </c>
      <c r="E18" s="170" t="s">
        <v>278</v>
      </c>
      <c r="F18" s="170" t="s">
        <v>120</v>
      </c>
      <c r="G18" s="172" t="s">
        <v>312</v>
      </c>
      <c r="H18" s="172">
        <v>1</v>
      </c>
      <c r="I18" s="173">
        <f t="shared" si="0"/>
        <v>0.01</v>
      </c>
      <c r="J18" s="174"/>
      <c r="K18" s="174"/>
    </row>
    <row r="19" spans="2:11" ht="30" customHeight="1">
      <c r="B19" s="170" t="s">
        <v>187</v>
      </c>
      <c r="C19" s="170" t="s">
        <v>313</v>
      </c>
      <c r="D19" s="170" t="s">
        <v>314</v>
      </c>
      <c r="E19" s="170" t="s">
        <v>278</v>
      </c>
      <c r="F19" s="170" t="s">
        <v>120</v>
      </c>
      <c r="G19" s="172" t="s">
        <v>315</v>
      </c>
      <c r="H19" s="172">
        <v>1</v>
      </c>
      <c r="I19" s="173">
        <f t="shared" si="0"/>
        <v>0.71</v>
      </c>
      <c r="J19" s="174"/>
      <c r="K19" s="174"/>
    </row>
    <row r="20" spans="2:11" ht="20.100000000000001" customHeight="1"/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B0F11-C845-4656-BD06-B76E6F16E6FC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52" customWidth="1"/>
    <col min="2" max="2" width="47.25" style="152" customWidth="1"/>
    <col min="3" max="3" width="37.125" style="152" customWidth="1"/>
    <col min="4" max="4" width="29.875" style="152" customWidth="1"/>
    <col min="5" max="5" width="14.25" style="152" customWidth="1"/>
    <col min="6" max="16384" width="10.125" style="152"/>
  </cols>
  <sheetData>
    <row r="1" spans="2:5" ht="15" customHeight="1"/>
    <row r="2" spans="2:5">
      <c r="C2" s="153" t="s">
        <v>237</v>
      </c>
    </row>
    <row r="3" spans="2:5">
      <c r="B3" s="154" t="s">
        <v>238</v>
      </c>
      <c r="C3" s="153" t="s">
        <v>239</v>
      </c>
    </row>
    <row r="4" spans="2:5" ht="15">
      <c r="B4" s="154" t="s">
        <v>240</v>
      </c>
      <c r="C4" s="155" t="s">
        <v>241</v>
      </c>
    </row>
    <row r="5" spans="2:5">
      <c r="B5" s="154" t="s">
        <v>242</v>
      </c>
      <c r="C5" s="155">
        <v>45078</v>
      </c>
    </row>
    <row r="6" spans="2:5" ht="25.5">
      <c r="B6" s="154" t="s">
        <v>243</v>
      </c>
      <c r="C6" s="155" t="s">
        <v>244</v>
      </c>
    </row>
    <row r="7" spans="2:5">
      <c r="B7" s="154" t="s">
        <v>245</v>
      </c>
      <c r="C7" s="156">
        <v>2140.6</v>
      </c>
    </row>
    <row r="8" spans="2:5">
      <c r="B8" s="157"/>
      <c r="C8" s="158"/>
    </row>
    <row r="9" spans="2:5" ht="25.5">
      <c r="B9" s="159" t="s">
        <v>246</v>
      </c>
      <c r="C9" s="154"/>
    </row>
    <row r="10" spans="2:5">
      <c r="B10" s="154" t="s">
        <v>247</v>
      </c>
      <c r="C10" s="160">
        <v>0.83340000000000003</v>
      </c>
    </row>
    <row r="11" spans="2:5">
      <c r="B11" s="154" t="s">
        <v>248</v>
      </c>
      <c r="C11" s="160">
        <v>0.4632</v>
      </c>
    </row>
    <row r="12" spans="2:5">
      <c r="B12" s="154" t="s">
        <v>249</v>
      </c>
      <c r="C12" s="160">
        <v>1.1276999999999999</v>
      </c>
    </row>
    <row r="13" spans="2:5">
      <c r="B13" s="154" t="s">
        <v>250</v>
      </c>
      <c r="C13" s="160">
        <v>0.69879999999999998</v>
      </c>
    </row>
    <row r="14" spans="2:5" ht="14.1" customHeight="1">
      <c r="B14" s="157"/>
      <c r="C14" s="157"/>
    </row>
    <row r="15" spans="2:5">
      <c r="B15" s="161" t="s">
        <v>251</v>
      </c>
      <c r="C15" s="162"/>
    </row>
    <row r="16" spans="2:5" ht="15.75">
      <c r="B16" s="154" t="s">
        <v>252</v>
      </c>
      <c r="C16" s="162">
        <f>C7*(1+C11)</f>
        <v>3132.12592</v>
      </c>
      <c r="D16" s="163"/>
      <c r="E16" s="163"/>
    </row>
    <row r="17" spans="2:5" ht="15.75">
      <c r="B17" s="154" t="s">
        <v>253</v>
      </c>
      <c r="C17" s="162">
        <f>C7*(1+C13)</f>
        <v>3636.4512799999998</v>
      </c>
      <c r="D17" s="163"/>
      <c r="E17" s="163"/>
    </row>
    <row r="18" spans="2:5" ht="15.75">
      <c r="B18" s="154" t="s">
        <v>254</v>
      </c>
      <c r="C18" s="164">
        <f>C16*(1+C10)/(220*(1+C11))</f>
        <v>17.838982000000001</v>
      </c>
      <c r="D18" s="165"/>
      <c r="E18" s="163"/>
    </row>
    <row r="19" spans="2:5" ht="15.75">
      <c r="B19" s="154" t="s">
        <v>255</v>
      </c>
      <c r="C19" s="164">
        <f>(C17*(1+C12)/(220*(1+C13)))</f>
        <v>20.702520999999997</v>
      </c>
      <c r="D19" s="165"/>
      <c r="E19" s="163"/>
    </row>
    <row r="21" spans="2:5">
      <c r="B21" s="152" t="s">
        <v>256</v>
      </c>
    </row>
    <row r="22" spans="2:5" ht="69.95" customHeight="1"/>
    <row r="23" spans="2:5" ht="34.5" customHeight="1">
      <c r="B23" s="257" t="s">
        <v>257</v>
      </c>
      <c r="C23" s="257"/>
    </row>
    <row r="24" spans="2:5" ht="34.35" customHeight="1">
      <c r="B24" s="257" t="s">
        <v>258</v>
      </c>
      <c r="C24" s="257"/>
    </row>
    <row r="25" spans="2:5" ht="30" customHeight="1">
      <c r="B25" s="257" t="s">
        <v>259</v>
      </c>
      <c r="C25" s="257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D5B45-9CC0-435B-B829-C9F000570EDA}">
  <sheetPr>
    <tabColor rgb="FFFFFFFF"/>
  </sheetPr>
  <dimension ref="B1:K22"/>
  <sheetViews>
    <sheetView zoomScale="110" zoomScaleNormal="110" workbookViewId="0">
      <selection activeCell="L15" sqref="L15"/>
    </sheetView>
  </sheetViews>
  <sheetFormatPr defaultColWidth="8.125" defaultRowHeight="12.75"/>
  <cols>
    <col min="1" max="1" width="5.625" style="166" customWidth="1"/>
    <col min="2" max="2" width="2.875" style="166" customWidth="1"/>
    <col min="3" max="3" width="11.75" style="166" customWidth="1"/>
    <col min="4" max="4" width="57.75" style="166" customWidth="1"/>
    <col min="5" max="5" width="28.875" style="166" customWidth="1"/>
    <col min="6" max="6" width="9.625" style="166" customWidth="1"/>
    <col min="7" max="7" width="13.25" style="166" customWidth="1"/>
    <col min="8" max="8" width="11.5" style="166" customWidth="1"/>
    <col min="9" max="9" width="13.5" style="166" customWidth="1"/>
    <col min="10" max="1026" width="8.25" style="166" customWidth="1"/>
    <col min="1027" max="16384" width="8.125" style="166"/>
  </cols>
  <sheetData>
    <row r="1" spans="2:11" ht="15" customHeight="1"/>
    <row r="2" spans="2:11" ht="24.75" customHeight="1">
      <c r="B2" s="263" t="s">
        <v>260</v>
      </c>
      <c r="C2" s="263"/>
      <c r="D2" s="263"/>
      <c r="E2" s="263"/>
      <c r="F2" s="263"/>
      <c r="G2" s="263"/>
      <c r="H2" s="263"/>
      <c r="I2" s="263"/>
    </row>
    <row r="3" spans="2:11" ht="21" customHeight="1"/>
    <row r="4" spans="2:11" ht="16.5" customHeight="1">
      <c r="B4" s="264" t="s">
        <v>261</v>
      </c>
      <c r="C4" s="264"/>
      <c r="D4" s="264"/>
      <c r="E4" s="264"/>
      <c r="F4" s="264"/>
      <c r="G4" s="264"/>
      <c r="H4" s="264"/>
      <c r="I4" s="264"/>
    </row>
    <row r="5" spans="2:11" ht="16.5" customHeight="1">
      <c r="B5" s="258" t="s">
        <v>110</v>
      </c>
      <c r="C5" s="258"/>
      <c r="D5" s="259">
        <v>88264</v>
      </c>
      <c r="E5" s="259"/>
      <c r="F5" s="259"/>
      <c r="G5" s="259"/>
      <c r="H5" s="259"/>
      <c r="I5" s="259"/>
    </row>
    <row r="6" spans="2:11" ht="16.5" customHeight="1">
      <c r="B6" s="258" t="s">
        <v>98</v>
      </c>
      <c r="C6" s="258"/>
      <c r="D6" s="259" t="s">
        <v>262</v>
      </c>
      <c r="E6" s="259"/>
      <c r="F6" s="259"/>
      <c r="G6" s="259"/>
      <c r="H6" s="259"/>
      <c r="I6" s="259"/>
    </row>
    <row r="7" spans="2:11" ht="16.5" customHeight="1">
      <c r="B7" s="258" t="s">
        <v>113</v>
      </c>
      <c r="C7" s="258"/>
      <c r="D7" s="265" t="s">
        <v>263</v>
      </c>
      <c r="E7" s="265"/>
      <c r="F7" s="265"/>
      <c r="G7" s="265"/>
      <c r="H7" s="265"/>
      <c r="I7" s="265"/>
    </row>
    <row r="8" spans="2:11" ht="16.5" customHeight="1">
      <c r="B8" s="258" t="s">
        <v>114</v>
      </c>
      <c r="C8" s="258"/>
      <c r="D8" s="259" t="s">
        <v>237</v>
      </c>
      <c r="E8" s="259"/>
      <c r="F8" s="259"/>
      <c r="G8" s="259"/>
      <c r="H8" s="259"/>
      <c r="I8" s="259"/>
    </row>
    <row r="9" spans="2:11" ht="16.5" customHeight="1">
      <c r="B9" s="258" t="s">
        <v>115</v>
      </c>
      <c r="C9" s="258"/>
      <c r="D9" s="259" t="s">
        <v>264</v>
      </c>
      <c r="E9" s="259"/>
      <c r="F9" s="259"/>
      <c r="G9" s="259"/>
      <c r="H9" s="259"/>
      <c r="I9" s="259"/>
    </row>
    <row r="10" spans="2:11" ht="16.5" customHeight="1">
      <c r="B10" s="258" t="s">
        <v>99</v>
      </c>
      <c r="C10" s="258"/>
      <c r="D10" s="259" t="s">
        <v>120</v>
      </c>
      <c r="E10" s="259"/>
      <c r="F10" s="259"/>
      <c r="G10" s="259"/>
      <c r="H10" s="259"/>
      <c r="I10" s="259"/>
    </row>
    <row r="11" spans="2:11" ht="23.25" customHeight="1">
      <c r="B11" s="260" t="s">
        <v>117</v>
      </c>
      <c r="C11" s="260"/>
      <c r="D11" s="261">
        <f>SUM(I14:I22)</f>
        <v>27.39</v>
      </c>
      <c r="E11" s="261"/>
      <c r="F11" s="261"/>
      <c r="G11" s="261"/>
      <c r="H11" s="261"/>
      <c r="I11" s="261"/>
    </row>
    <row r="12" spans="2:11" ht="15.75" customHeight="1">
      <c r="B12" s="167"/>
      <c r="C12" s="167"/>
      <c r="D12" s="168"/>
      <c r="E12" s="168"/>
      <c r="F12" s="168"/>
      <c r="G12" s="168"/>
      <c r="H12" s="168"/>
      <c r="I12" s="168"/>
    </row>
    <row r="13" spans="2:11" ht="45">
      <c r="B13" s="169"/>
      <c r="C13" s="169" t="s">
        <v>133</v>
      </c>
      <c r="D13" s="169" t="s">
        <v>98</v>
      </c>
      <c r="E13" s="169" t="s">
        <v>115</v>
      </c>
      <c r="F13" s="169" t="s">
        <v>99</v>
      </c>
      <c r="G13" s="169" t="s">
        <v>265</v>
      </c>
      <c r="H13" s="169" t="s">
        <v>118</v>
      </c>
      <c r="I13" s="169" t="s">
        <v>117</v>
      </c>
    </row>
    <row r="14" spans="2:11" ht="27.75" customHeight="1">
      <c r="B14" s="170" t="s">
        <v>119</v>
      </c>
      <c r="C14" s="170">
        <v>95332</v>
      </c>
      <c r="D14" s="170" t="s">
        <v>266</v>
      </c>
      <c r="E14" s="170" t="s">
        <v>264</v>
      </c>
      <c r="F14" s="170" t="s">
        <v>120</v>
      </c>
      <c r="G14" s="171">
        <v>0.86</v>
      </c>
      <c r="H14" s="172">
        <v>1</v>
      </c>
      <c r="I14" s="173">
        <f t="shared" ref="I14:I22" si="0">G14*H14</f>
        <v>0.86</v>
      </c>
      <c r="J14" s="174"/>
      <c r="K14" s="174"/>
    </row>
    <row r="15" spans="2:11" ht="32.85" customHeight="1">
      <c r="B15" s="170" t="s">
        <v>187</v>
      </c>
      <c r="C15" s="170" t="s">
        <v>267</v>
      </c>
      <c r="D15" s="170" t="s">
        <v>268</v>
      </c>
      <c r="E15" s="170" t="s">
        <v>269</v>
      </c>
      <c r="F15" s="170" t="s">
        <v>120</v>
      </c>
      <c r="G15" s="171">
        <v>20.7</v>
      </c>
      <c r="H15" s="172">
        <v>1</v>
      </c>
      <c r="I15" s="173">
        <f t="shared" si="0"/>
        <v>20.7</v>
      </c>
      <c r="J15" s="174"/>
      <c r="K15" s="174"/>
    </row>
    <row r="16" spans="2:11" ht="42" customHeight="1">
      <c r="B16" s="170" t="s">
        <v>187</v>
      </c>
      <c r="C16" s="170">
        <v>37370</v>
      </c>
      <c r="D16" s="170" t="s">
        <v>270</v>
      </c>
      <c r="E16" s="170" t="s">
        <v>271</v>
      </c>
      <c r="F16" s="170" t="s">
        <v>120</v>
      </c>
      <c r="G16" s="171">
        <v>1.27</v>
      </c>
      <c r="H16" s="172">
        <v>1</v>
      </c>
      <c r="I16" s="173">
        <f t="shared" si="0"/>
        <v>1.27</v>
      </c>
      <c r="J16" s="174"/>
      <c r="K16" s="174"/>
    </row>
    <row r="17" spans="2:11" ht="27.75" customHeight="1">
      <c r="B17" s="170" t="s">
        <v>187</v>
      </c>
      <c r="C17" s="170">
        <v>37371</v>
      </c>
      <c r="D17" s="170" t="s">
        <v>272</v>
      </c>
      <c r="E17" s="170" t="s">
        <v>273</v>
      </c>
      <c r="F17" s="170" t="s">
        <v>120</v>
      </c>
      <c r="G17" s="171">
        <v>1.03</v>
      </c>
      <c r="H17" s="172">
        <v>1</v>
      </c>
      <c r="I17" s="173">
        <f t="shared" si="0"/>
        <v>1.03</v>
      </c>
      <c r="J17" s="174"/>
      <c r="K17" s="174"/>
    </row>
    <row r="18" spans="2:11" ht="42" customHeight="1">
      <c r="B18" s="170" t="s">
        <v>187</v>
      </c>
      <c r="C18" s="170">
        <v>37372</v>
      </c>
      <c r="D18" s="170" t="s">
        <v>274</v>
      </c>
      <c r="E18" s="170" t="s">
        <v>271</v>
      </c>
      <c r="F18" s="170" t="s">
        <v>120</v>
      </c>
      <c r="G18" s="171">
        <v>1.1399999999999999</v>
      </c>
      <c r="H18" s="172">
        <v>1</v>
      </c>
      <c r="I18" s="173">
        <f t="shared" si="0"/>
        <v>1.1399999999999999</v>
      </c>
      <c r="J18" s="174"/>
      <c r="K18" s="174"/>
    </row>
    <row r="19" spans="2:11" ht="27.75" customHeight="1">
      <c r="B19" s="170" t="s">
        <v>187</v>
      </c>
      <c r="C19" s="170">
        <v>37373</v>
      </c>
      <c r="D19" s="170" t="s">
        <v>275</v>
      </c>
      <c r="E19" s="170" t="s">
        <v>276</v>
      </c>
      <c r="F19" s="170" t="s">
        <v>120</v>
      </c>
      <c r="G19" s="171">
        <v>7.0000000000000007E-2</v>
      </c>
      <c r="H19" s="172">
        <v>1</v>
      </c>
      <c r="I19" s="173">
        <f t="shared" si="0"/>
        <v>7.0000000000000007E-2</v>
      </c>
      <c r="J19" s="174"/>
      <c r="K19" s="174"/>
    </row>
    <row r="20" spans="2:11" ht="27.75" customHeight="1">
      <c r="B20" s="170" t="s">
        <v>187</v>
      </c>
      <c r="C20" s="170">
        <v>43460</v>
      </c>
      <c r="D20" s="170" t="s">
        <v>277</v>
      </c>
      <c r="E20" s="170" t="s">
        <v>278</v>
      </c>
      <c r="F20" s="170" t="s">
        <v>120</v>
      </c>
      <c r="G20" s="171">
        <v>0.86</v>
      </c>
      <c r="H20" s="172">
        <v>1</v>
      </c>
      <c r="I20" s="173">
        <f t="shared" si="0"/>
        <v>0.86</v>
      </c>
      <c r="J20" s="174"/>
      <c r="K20" s="174"/>
    </row>
    <row r="21" spans="2:11" ht="29.25" customHeight="1">
      <c r="B21" s="175" t="s">
        <v>187</v>
      </c>
      <c r="C21" s="175">
        <v>43461</v>
      </c>
      <c r="D21" s="175" t="s">
        <v>279</v>
      </c>
      <c r="E21" s="175" t="s">
        <v>278</v>
      </c>
      <c r="F21" s="175" t="s">
        <v>120</v>
      </c>
      <c r="G21" s="176">
        <v>0.32</v>
      </c>
      <c r="H21" s="177">
        <v>1</v>
      </c>
      <c r="I21" s="178">
        <f t="shared" si="0"/>
        <v>0.32</v>
      </c>
      <c r="J21" s="174"/>
      <c r="K21" s="174"/>
    </row>
    <row r="22" spans="2:11" ht="27.75" customHeight="1">
      <c r="B22" s="170" t="s">
        <v>187</v>
      </c>
      <c r="C22" s="170">
        <v>43484</v>
      </c>
      <c r="D22" s="170" t="s">
        <v>280</v>
      </c>
      <c r="E22" s="170" t="s">
        <v>278</v>
      </c>
      <c r="F22" s="170" t="s">
        <v>120</v>
      </c>
      <c r="G22" s="171">
        <v>1.1399999999999999</v>
      </c>
      <c r="H22" s="172">
        <v>1</v>
      </c>
      <c r="I22" s="173">
        <f t="shared" si="0"/>
        <v>1.1399999999999999</v>
      </c>
      <c r="J22" s="174"/>
      <c r="K22" s="174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E1BE7-826B-4621-9ED3-4701CE39B331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706c7f7c-e32b-4162-b9b5-46b4313c91a4"/>
    <ds:schemaRef ds:uri="http://www.w3.org/XML/1998/namespace"/>
    <ds:schemaRef ds:uri="http://purl.org/dc/elements/1.1/"/>
    <ds:schemaRef ds:uri="http://schemas.openxmlformats.org/package/2006/metadata/core-properties"/>
    <ds:schemaRef ds:uri="132d983b-bc52-4905-b3a2-4655d790e7be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CBFD98E-679A-4D67-816A-EA47E1E9F4B6}"/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27</vt:i4>
      </vt:variant>
    </vt:vector>
  </HeadingPairs>
  <TitlesOfParts>
    <vt:vector size="40" baseType="lpstr">
      <vt:lpstr>Valor da Contratação</vt:lpstr>
      <vt:lpstr>Resumo</vt:lpstr>
      <vt:lpstr>Equipe Técnica</vt:lpstr>
      <vt:lpstr>Base Passo Fundo</vt:lpstr>
      <vt:lpstr>Desl. Base Passo Fundo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Passo Fundo'!_xlnm_Print_Area</vt:lpstr>
      <vt:lpstr>'Desl. Base Passo Fundo'!_xlnm_Print_Area</vt:lpstr>
      <vt:lpstr>'Equipe Técnica'!_xlnm_Print_Area</vt:lpstr>
      <vt:lpstr>Unidades!_xlnm_Print_Area</vt:lpstr>
      <vt:lpstr>'Base Passo Fundo'!_xlnm_Print_Area_0</vt:lpstr>
      <vt:lpstr>'Desl. Base Passo Fundo'!_xlnm_Print_Area_0</vt:lpstr>
      <vt:lpstr>'Equipe Técnica'!_xlnm_Print_Area_0</vt:lpstr>
      <vt:lpstr>Unidades!_xlnm_Print_Area_0</vt:lpstr>
      <vt:lpstr>'Base Passo Fundo'!Area_de_impressao</vt:lpstr>
      <vt:lpstr>BDI!Area_de_impressao</vt:lpstr>
      <vt:lpstr>'Desl. Base Passo Fundo'!Area_de_impressao</vt:lpstr>
      <vt:lpstr>'Equipe Técnica'!Area_de_impressao</vt:lpstr>
      <vt:lpstr>Unidades!Area_de_impressao</vt:lpstr>
      <vt:lpstr>'Base Passo Fundo'!Excel_BuiltIn_Print_Area</vt:lpstr>
      <vt:lpstr>Unidades!Excel_BuiltIn_Print_Area</vt:lpstr>
      <vt:lpstr>'Base Passo Fundo'!Print_Area_0</vt:lpstr>
      <vt:lpstr>'Desl. Base Passo Fundo'!Print_Area_0</vt:lpstr>
      <vt:lpstr>'Equipe Técnica'!Print_Area_0</vt:lpstr>
      <vt:lpstr>Unidades!Print_Area_0</vt:lpstr>
      <vt:lpstr>'Base Passo Fundo'!Print_Area_0_0</vt:lpstr>
      <vt:lpstr>'Desl. Base Passo Fundo'!Print_Area_0_0</vt:lpstr>
      <vt:lpstr>'Equipe Técnica'!Print_Area_0_0</vt:lpstr>
      <vt:lpstr>Unidades!Print_Area_0_0</vt:lpstr>
      <vt:lpstr>'Base Passo Fundo'!Print_Area_0_0_0</vt:lpstr>
      <vt:lpstr>'Desl. Base Passo Fundo'!Print_Area_0_0_0</vt:lpstr>
      <vt:lpstr>'Base Passo Fundo'!Print_Area_0_0_0_0</vt:lpstr>
      <vt:lpstr>'Desl. Base Passo Fundo'!Print_Area_0_0_0_0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2023-12-07T12:47:22Z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